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updateLinks="always" codeName="ThisWorkbook" defaultThemeVersion="124226"/>
  <mc:AlternateContent xmlns:mc="http://schemas.openxmlformats.org/markup-compatibility/2006">
    <mc:Choice Requires="x15">
      <x15ac:absPath xmlns:x15ac="http://schemas.microsoft.com/office/spreadsheetml/2010/11/ac" url="C:\Users\johnc\OneDrive\Desktop\"/>
    </mc:Choice>
  </mc:AlternateContent>
  <xr:revisionPtr revIDLastSave="0" documentId="13_ncr:1_{160101EF-C257-4A6B-A6C0-A40EAA9A518A}" xr6:coauthVersionLast="45" xr6:coauthVersionMax="45" xr10:uidLastSave="{00000000-0000-0000-0000-000000000000}"/>
  <bookViews>
    <workbookView xWindow="2760" yWindow="3460" windowWidth="17240" windowHeight="9273" xr2:uid="{00000000-000D-0000-FFFF-FFFF00000000}"/>
  </bookViews>
  <sheets>
    <sheet name="Instructions" sheetId="66" r:id="rId1"/>
    <sheet name="Test Pool Calculator" sheetId="64" r:id="rId2"/>
    <sheet name="Replicate Tables" sheetId="65" r:id="rId3"/>
    <sheet name="Example-Screening" sheetId="49" r:id="rId4"/>
    <sheet name="Example-Dose Response" sheetId="57" r:id="rId5"/>
    <sheet name="Screening Worksheet 1" sheetId="58" r:id="rId6"/>
    <sheet name="Screening Worksheet 2" sheetId="59" r:id="rId7"/>
    <sheet name="Screening Worksheet 3" sheetId="60" r:id="rId8"/>
    <sheet name=" Dose-Response Worksheet 1" sheetId="44" r:id="rId9"/>
    <sheet name="Dose-Response Worksheet 2" sheetId="63" r:id="rId10"/>
    <sheet name="Dose-Response Worksheet 3" sheetId="62" r:id="rId11"/>
    <sheet name="Calculations" sheetId="45" state="hidden" r:id="rId12"/>
    <sheet name="Sheet1" sheetId="48" state="hidden" r:id="rId13"/>
  </sheets>
  <definedNames>
    <definedName name="_xlnm._FilterDatabase" localSheetId="8" hidden="1">Calculations!$J$4:$J$28</definedName>
    <definedName name="_xlnm.Print_Area" localSheetId="8">' Dose-Response Worksheet 1'!$A$1:$M$64</definedName>
    <definedName name="_xlnm.Print_Area" localSheetId="9">'Dose-Response Worksheet 2'!$A$1:$M$64</definedName>
    <definedName name="_xlnm.Print_Area" localSheetId="10">'Dose-Response Worksheet 3'!$A$1:$M$64</definedName>
    <definedName name="_xlnm.Print_Area" localSheetId="4">'Example-Dose Response'!$A$1:$N$64</definedName>
    <definedName name="_xlnm.Print_Area" localSheetId="3">'Example-Screening'!$A$1:$V$65</definedName>
    <definedName name="_xlnm.Print_Area" localSheetId="2">'Replicate Tables'!$A$1:$M$34</definedName>
    <definedName name="_xlnm.Print_Area" localSheetId="12">Sheet1!$A$1:$K$42</definedName>
    <definedName name="_xlnm.Print_Area" localSheetId="1">'Test Pool Calculator'!$A$1:$O$18</definedName>
  </definedNames>
  <calcPr calcId="191029" iterate="1" iterateCount="1000" iterateDelta="0.0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7" i="62" l="1"/>
  <c r="C46" i="62"/>
  <c r="B46" i="62"/>
  <c r="D46" i="62" l="1"/>
  <c r="H49" i="62"/>
  <c r="G49" i="62"/>
  <c r="B48" i="62"/>
  <c r="L36" i="62"/>
  <c r="K36" i="62"/>
  <c r="J36" i="62"/>
  <c r="L35" i="62"/>
  <c r="K35" i="62"/>
  <c r="J35" i="62"/>
  <c r="L30" i="62"/>
  <c r="K30" i="62"/>
  <c r="J30" i="62"/>
  <c r="B30" i="62"/>
  <c r="B32" i="62" s="1"/>
  <c r="B33" i="62" s="1"/>
  <c r="L29" i="62"/>
  <c r="K29" i="62"/>
  <c r="J29" i="62"/>
  <c r="L18" i="62"/>
  <c r="J18" i="62"/>
  <c r="H18" i="62"/>
  <c r="L17" i="62"/>
  <c r="H17" i="62"/>
  <c r="G48" i="62"/>
  <c r="C48" i="62"/>
  <c r="H16" i="62"/>
  <c r="B16" i="62"/>
  <c r="B17" i="62" s="1"/>
  <c r="J15" i="62"/>
  <c r="H15" i="62"/>
  <c r="H46" i="62"/>
  <c r="H14" i="62"/>
  <c r="K5" i="62"/>
  <c r="L36" i="63"/>
  <c r="K36" i="63"/>
  <c r="J36" i="63"/>
  <c r="L35" i="63"/>
  <c r="K35" i="63"/>
  <c r="J35" i="63"/>
  <c r="L30" i="63"/>
  <c r="K30" i="63"/>
  <c r="J30" i="63"/>
  <c r="B30" i="63"/>
  <c r="B32" i="63" s="1"/>
  <c r="B33" i="63" s="1"/>
  <c r="L29" i="63"/>
  <c r="K29" i="63"/>
  <c r="J29" i="63"/>
  <c r="H18" i="63"/>
  <c r="K18" i="63" s="1"/>
  <c r="L18" i="63" s="1"/>
  <c r="H17" i="63"/>
  <c r="K17" i="63" s="1"/>
  <c r="H16" i="63"/>
  <c r="K16" i="63" s="1"/>
  <c r="L16" i="63" s="1"/>
  <c r="B16" i="63"/>
  <c r="B17" i="63" s="1"/>
  <c r="H15" i="63"/>
  <c r="K15" i="63" s="1"/>
  <c r="K14" i="63"/>
  <c r="H14" i="63"/>
  <c r="K37" i="63" s="1"/>
  <c r="K5" i="63"/>
  <c r="L36" i="44"/>
  <c r="K36" i="44"/>
  <c r="J36" i="44"/>
  <c r="L35" i="44"/>
  <c r="K35" i="44"/>
  <c r="J35" i="44"/>
  <c r="L30" i="44"/>
  <c r="K30" i="44"/>
  <c r="J30" i="44"/>
  <c r="B30" i="44"/>
  <c r="B32" i="44" s="1"/>
  <c r="B33" i="44" s="1"/>
  <c r="L29" i="44"/>
  <c r="K29" i="44"/>
  <c r="J29" i="44"/>
  <c r="H18" i="44"/>
  <c r="I18" i="44" s="1"/>
  <c r="J18" i="44" s="1"/>
  <c r="H17" i="44"/>
  <c r="K16" i="44"/>
  <c r="L16" i="44" s="1"/>
  <c r="H16" i="44"/>
  <c r="B16" i="44"/>
  <c r="B17" i="44" s="1"/>
  <c r="I15" i="44"/>
  <c r="H15" i="44"/>
  <c r="K15" i="44" s="1"/>
  <c r="K14" i="44"/>
  <c r="H14" i="44"/>
  <c r="K37" i="44" s="1"/>
  <c r="K5" i="44"/>
  <c r="T47" i="60"/>
  <c r="P47" i="60"/>
  <c r="T46" i="60"/>
  <c r="P46" i="60"/>
  <c r="T45" i="60"/>
  <c r="P45" i="60"/>
  <c r="T44" i="60"/>
  <c r="P44" i="60"/>
  <c r="T43" i="60"/>
  <c r="P43" i="60"/>
  <c r="T42" i="60"/>
  <c r="P42" i="60"/>
  <c r="T41" i="60"/>
  <c r="P41" i="60"/>
  <c r="T40" i="60"/>
  <c r="P40" i="60"/>
  <c r="T39" i="60"/>
  <c r="P39" i="60"/>
  <c r="J39" i="60"/>
  <c r="A53" i="60" s="1"/>
  <c r="D39" i="60"/>
  <c r="A48" i="60" s="1"/>
  <c r="T38" i="60"/>
  <c r="P38" i="60"/>
  <c r="J38" i="60"/>
  <c r="A52" i="60" s="1"/>
  <c r="D38" i="60"/>
  <c r="A47" i="60" s="1"/>
  <c r="T37" i="60"/>
  <c r="P37" i="60"/>
  <c r="J37" i="60"/>
  <c r="T36" i="60"/>
  <c r="P36" i="60"/>
  <c r="J36" i="60"/>
  <c r="H36" i="60"/>
  <c r="O61" i="60" s="1"/>
  <c r="D36" i="60"/>
  <c r="D37" i="60" s="1"/>
  <c r="B36" i="60"/>
  <c r="T35" i="60"/>
  <c r="P35" i="60"/>
  <c r="J35" i="60"/>
  <c r="H35" i="60"/>
  <c r="D35" i="60"/>
  <c r="B35" i="60"/>
  <c r="T34" i="60"/>
  <c r="P34" i="60"/>
  <c r="J34" i="60"/>
  <c r="H34" i="60"/>
  <c r="O59" i="60" s="1"/>
  <c r="O60" i="60" s="1"/>
  <c r="D34" i="60"/>
  <c r="B34" i="60"/>
  <c r="T33" i="60"/>
  <c r="P33" i="60"/>
  <c r="T32" i="60"/>
  <c r="I10" i="60" s="1"/>
  <c r="P32" i="60"/>
  <c r="I9" i="60" s="1"/>
  <c r="T31" i="60"/>
  <c r="P31" i="60"/>
  <c r="T30" i="60"/>
  <c r="P30" i="60"/>
  <c r="T29" i="60"/>
  <c r="P29" i="60"/>
  <c r="T28" i="60"/>
  <c r="P28" i="60"/>
  <c r="T27" i="60"/>
  <c r="P27" i="60"/>
  <c r="T26" i="60"/>
  <c r="P26" i="60"/>
  <c r="T25" i="60"/>
  <c r="P25" i="60"/>
  <c r="T24" i="60"/>
  <c r="P24" i="60"/>
  <c r="T23" i="60"/>
  <c r="P23" i="60"/>
  <c r="T22" i="60"/>
  <c r="P22" i="60"/>
  <c r="T21" i="60"/>
  <c r="P21" i="60"/>
  <c r="T20" i="60"/>
  <c r="P20" i="60"/>
  <c r="T19" i="60"/>
  <c r="P19" i="60"/>
  <c r="T18" i="60"/>
  <c r="P18" i="60"/>
  <c r="T17" i="60"/>
  <c r="P17" i="60"/>
  <c r="T16" i="60"/>
  <c r="P16" i="60"/>
  <c r="T15" i="60"/>
  <c r="P15" i="60"/>
  <c r="T14" i="60"/>
  <c r="P14" i="60"/>
  <c r="T13" i="60"/>
  <c r="P13" i="60"/>
  <c r="T12" i="60"/>
  <c r="P12" i="60"/>
  <c r="K6" i="60"/>
  <c r="K4" i="60"/>
  <c r="T47" i="59"/>
  <c r="P47" i="59"/>
  <c r="T46" i="59"/>
  <c r="P46" i="59"/>
  <c r="T45" i="59"/>
  <c r="P45" i="59"/>
  <c r="T44" i="59"/>
  <c r="P44" i="59"/>
  <c r="T43" i="59"/>
  <c r="P43" i="59"/>
  <c r="T42" i="59"/>
  <c r="P42" i="59"/>
  <c r="T41" i="59"/>
  <c r="P41" i="59"/>
  <c r="T40" i="59"/>
  <c r="P40" i="59"/>
  <c r="T39" i="59"/>
  <c r="P39" i="59"/>
  <c r="J39" i="59"/>
  <c r="A53" i="59" s="1"/>
  <c r="D39" i="59"/>
  <c r="A48" i="59" s="1"/>
  <c r="T38" i="59"/>
  <c r="P38" i="59"/>
  <c r="J38" i="59"/>
  <c r="A52" i="59" s="1"/>
  <c r="D38" i="59"/>
  <c r="A47" i="59" s="1"/>
  <c r="T37" i="59"/>
  <c r="P37" i="59"/>
  <c r="T36" i="59"/>
  <c r="P36" i="59"/>
  <c r="J36" i="59"/>
  <c r="H36" i="59"/>
  <c r="D36" i="59"/>
  <c r="D37" i="59" s="1"/>
  <c r="B36" i="59"/>
  <c r="T35" i="59"/>
  <c r="P35" i="59"/>
  <c r="J35" i="59"/>
  <c r="J37" i="59" s="1"/>
  <c r="H35" i="59"/>
  <c r="D35" i="59"/>
  <c r="B35" i="59"/>
  <c r="T34" i="59"/>
  <c r="P34" i="59"/>
  <c r="J34" i="59"/>
  <c r="H34" i="59"/>
  <c r="O59" i="59" s="1"/>
  <c r="O60" i="59" s="1"/>
  <c r="D34" i="59"/>
  <c r="B34" i="59"/>
  <c r="O52" i="59" s="1"/>
  <c r="O53" i="59" s="1"/>
  <c r="T33" i="59"/>
  <c r="P33" i="59"/>
  <c r="T32" i="59"/>
  <c r="P32" i="59"/>
  <c r="I9" i="59" s="1"/>
  <c r="T31" i="59"/>
  <c r="P31" i="59"/>
  <c r="T30" i="59"/>
  <c r="P30" i="59"/>
  <c r="T29" i="59"/>
  <c r="P29" i="59"/>
  <c r="T28" i="59"/>
  <c r="P28" i="59"/>
  <c r="T27" i="59"/>
  <c r="P27" i="59"/>
  <c r="T26" i="59"/>
  <c r="P26" i="59"/>
  <c r="T25" i="59"/>
  <c r="P25" i="59"/>
  <c r="T24" i="59"/>
  <c r="P24" i="59"/>
  <c r="T23" i="59"/>
  <c r="P23" i="59"/>
  <c r="T22" i="59"/>
  <c r="P22" i="59"/>
  <c r="T21" i="59"/>
  <c r="P21" i="59"/>
  <c r="T20" i="59"/>
  <c r="P20" i="59"/>
  <c r="T19" i="59"/>
  <c r="P19" i="59"/>
  <c r="T18" i="59"/>
  <c r="P18" i="59"/>
  <c r="T17" i="59"/>
  <c r="P17" i="59"/>
  <c r="T16" i="59"/>
  <c r="P16" i="59"/>
  <c r="T15" i="59"/>
  <c r="P15" i="59"/>
  <c r="T14" i="59"/>
  <c r="P14" i="59"/>
  <c r="T13" i="59"/>
  <c r="P13" i="59"/>
  <c r="T12" i="59"/>
  <c r="P12" i="59"/>
  <c r="I10" i="59"/>
  <c r="K6" i="59"/>
  <c r="K4" i="59"/>
  <c r="T47" i="58"/>
  <c r="P47" i="58"/>
  <c r="T46" i="58"/>
  <c r="P46" i="58"/>
  <c r="T45" i="58"/>
  <c r="P45" i="58"/>
  <c r="T44" i="58"/>
  <c r="P44" i="58"/>
  <c r="T43" i="58"/>
  <c r="P43" i="58"/>
  <c r="T42" i="58"/>
  <c r="P42" i="58"/>
  <c r="T41" i="58"/>
  <c r="P41" i="58"/>
  <c r="T40" i="58"/>
  <c r="P40" i="58"/>
  <c r="T39" i="58"/>
  <c r="P39" i="58"/>
  <c r="J39" i="58"/>
  <c r="A53" i="58" s="1"/>
  <c r="D39" i="58"/>
  <c r="A48" i="58" s="1"/>
  <c r="T38" i="58"/>
  <c r="P38" i="58"/>
  <c r="J38" i="58"/>
  <c r="A52" i="58" s="1"/>
  <c r="D38" i="58"/>
  <c r="A47" i="58" s="1"/>
  <c r="T37" i="58"/>
  <c r="P37" i="58"/>
  <c r="T36" i="58"/>
  <c r="P36" i="58"/>
  <c r="J36" i="58"/>
  <c r="J37" i="58" s="1"/>
  <c r="H36" i="58"/>
  <c r="D36" i="58"/>
  <c r="B36" i="58"/>
  <c r="B37" i="58" s="1"/>
  <c r="T35" i="58"/>
  <c r="P35" i="58"/>
  <c r="J35" i="58"/>
  <c r="H35" i="58"/>
  <c r="K41" i="58" s="1"/>
  <c r="D35" i="58"/>
  <c r="B35" i="58"/>
  <c r="E41" i="58" s="1"/>
  <c r="T34" i="58"/>
  <c r="P34" i="58"/>
  <c r="J34" i="58"/>
  <c r="H34" i="58"/>
  <c r="O59" i="58" s="1"/>
  <c r="O60" i="58" s="1"/>
  <c r="D34" i="58"/>
  <c r="B34" i="58"/>
  <c r="T33" i="58"/>
  <c r="P33" i="58"/>
  <c r="T32" i="58"/>
  <c r="P32" i="58"/>
  <c r="T31" i="58"/>
  <c r="P31" i="58"/>
  <c r="T30" i="58"/>
  <c r="P30" i="58"/>
  <c r="T29" i="58"/>
  <c r="P29" i="58"/>
  <c r="T28" i="58"/>
  <c r="P28" i="58"/>
  <c r="T27" i="58"/>
  <c r="P27" i="58"/>
  <c r="T26" i="58"/>
  <c r="P26" i="58"/>
  <c r="T25" i="58"/>
  <c r="P25" i="58"/>
  <c r="T24" i="58"/>
  <c r="P24" i="58"/>
  <c r="T23" i="58"/>
  <c r="P23" i="58"/>
  <c r="T22" i="58"/>
  <c r="P22" i="58"/>
  <c r="T21" i="58"/>
  <c r="P21" i="58"/>
  <c r="T20" i="58"/>
  <c r="P20" i="58"/>
  <c r="T19" i="58"/>
  <c r="P19" i="58"/>
  <c r="T18" i="58"/>
  <c r="P18" i="58"/>
  <c r="T17" i="58"/>
  <c r="P17" i="58"/>
  <c r="T16" i="58"/>
  <c r="P16" i="58"/>
  <c r="T15" i="58"/>
  <c r="P15" i="58"/>
  <c r="T14" i="58"/>
  <c r="P14" i="58"/>
  <c r="T13" i="58"/>
  <c r="P13" i="58"/>
  <c r="T12" i="58"/>
  <c r="P12" i="58"/>
  <c r="I10" i="58"/>
  <c r="I9" i="58"/>
  <c r="K6" i="58"/>
  <c r="K4" i="58"/>
  <c r="B30" i="57"/>
  <c r="H18" i="57"/>
  <c r="H17" i="57"/>
  <c r="H16" i="57"/>
  <c r="H15" i="57"/>
  <c r="H14" i="57"/>
  <c r="B16" i="57"/>
  <c r="B15" i="57" s="1"/>
  <c r="K6" i="49"/>
  <c r="J39" i="49"/>
  <c r="J38" i="49"/>
  <c r="J36" i="49"/>
  <c r="J35" i="49"/>
  <c r="J34" i="49"/>
  <c r="H36" i="49"/>
  <c r="H35" i="49"/>
  <c r="H34" i="49"/>
  <c r="D39" i="49"/>
  <c r="D38" i="49"/>
  <c r="D36" i="49"/>
  <c r="D35" i="49"/>
  <c r="D34" i="49"/>
  <c r="B36" i="49"/>
  <c r="B35" i="49"/>
  <c r="B34" i="49"/>
  <c r="G49" i="63" l="1"/>
  <c r="L17" i="63"/>
  <c r="H49" i="63"/>
  <c r="I16" i="63"/>
  <c r="C48" i="63" s="1"/>
  <c r="I15" i="63"/>
  <c r="I17" i="63"/>
  <c r="J17" i="63" s="1"/>
  <c r="I18" i="63"/>
  <c r="J18" i="63" s="1"/>
  <c r="I14" i="63"/>
  <c r="B46" i="63" s="1"/>
  <c r="K17" i="62"/>
  <c r="I17" i="62"/>
  <c r="K37" i="62"/>
  <c r="I14" i="62"/>
  <c r="K14" i="62"/>
  <c r="K15" i="62"/>
  <c r="I15" i="62"/>
  <c r="K18" i="62"/>
  <c r="I18" i="62"/>
  <c r="I16" i="62"/>
  <c r="K16" i="62"/>
  <c r="L15" i="63"/>
  <c r="G48" i="63"/>
  <c r="H48" i="63"/>
  <c r="I48" i="63" s="1"/>
  <c r="C46" i="63"/>
  <c r="D46" i="63" s="1"/>
  <c r="J16" i="63"/>
  <c r="B48" i="63"/>
  <c r="J15" i="63"/>
  <c r="A39" i="63" s="1"/>
  <c r="D48" i="62"/>
  <c r="C49" i="62"/>
  <c r="H47" i="62"/>
  <c r="L16" i="62"/>
  <c r="G46" i="62"/>
  <c r="I46" i="62" s="1"/>
  <c r="G47" i="62"/>
  <c r="H48" i="62"/>
  <c r="I48" i="62" s="1"/>
  <c r="I49" i="62"/>
  <c r="L15" i="62"/>
  <c r="J16" i="62"/>
  <c r="C47" i="62"/>
  <c r="B49" i="62"/>
  <c r="J17" i="62"/>
  <c r="A41" i="62" s="1"/>
  <c r="J31" i="62"/>
  <c r="J37" i="62"/>
  <c r="L31" i="62"/>
  <c r="L37" i="62"/>
  <c r="J38" i="62"/>
  <c r="J32" i="62"/>
  <c r="K38" i="62"/>
  <c r="B15" i="62"/>
  <c r="B26" i="62" s="1"/>
  <c r="B21" i="62"/>
  <c r="L22" i="62" s="1"/>
  <c r="K32" i="62"/>
  <c r="L38" i="62"/>
  <c r="L32" i="62"/>
  <c r="A39" i="62"/>
  <c r="K31" i="62"/>
  <c r="A42" i="62"/>
  <c r="K31" i="63"/>
  <c r="J31" i="63"/>
  <c r="J37" i="63"/>
  <c r="L37" i="63"/>
  <c r="J38" i="63"/>
  <c r="J32" i="63"/>
  <c r="K38" i="63"/>
  <c r="B15" i="63"/>
  <c r="B22" i="63" s="1"/>
  <c r="B21" i="63"/>
  <c r="L32" i="63"/>
  <c r="A42" i="63"/>
  <c r="L31" i="63"/>
  <c r="K32" i="63"/>
  <c r="L38" i="63"/>
  <c r="A40" i="63"/>
  <c r="L15" i="44"/>
  <c r="K18" i="44"/>
  <c r="L18" i="44" s="1"/>
  <c r="A42" i="44" s="1"/>
  <c r="L31" i="44"/>
  <c r="L37" i="44"/>
  <c r="I14" i="44"/>
  <c r="I17" i="44"/>
  <c r="J38" i="44"/>
  <c r="J32" i="44"/>
  <c r="K38" i="44"/>
  <c r="B15" i="44"/>
  <c r="H47" i="44" s="1"/>
  <c r="I16" i="44"/>
  <c r="K17" i="44"/>
  <c r="H48" i="44" s="1"/>
  <c r="B21" i="44"/>
  <c r="L26" i="44" s="1"/>
  <c r="K32" i="44"/>
  <c r="L38" i="44"/>
  <c r="L32" i="44"/>
  <c r="J15" i="44"/>
  <c r="J31" i="44"/>
  <c r="J37" i="44"/>
  <c r="K31" i="44"/>
  <c r="O62" i="60"/>
  <c r="H37" i="60"/>
  <c r="K41" i="60"/>
  <c r="K43" i="60" s="1"/>
  <c r="O52" i="60"/>
  <c r="O53" i="60" s="1"/>
  <c r="B37" i="60"/>
  <c r="E41" i="60"/>
  <c r="O62" i="59"/>
  <c r="O61" i="59"/>
  <c r="B37" i="59"/>
  <c r="E41" i="59"/>
  <c r="E42" i="59" s="1"/>
  <c r="A49" i="59" s="1"/>
  <c r="O61" i="58"/>
  <c r="O62" i="58" s="1"/>
  <c r="D37" i="58"/>
  <c r="O52" i="58"/>
  <c r="O53" i="58" s="1"/>
  <c r="E42" i="60"/>
  <c r="A49" i="60" s="1"/>
  <c r="O54" i="60"/>
  <c r="O54" i="59"/>
  <c r="O55" i="59" s="1"/>
  <c r="K41" i="59"/>
  <c r="H37" i="59"/>
  <c r="E42" i="58"/>
  <c r="A49" i="58" s="1"/>
  <c r="O55" i="58"/>
  <c r="E44" i="58" s="1"/>
  <c r="A54" i="58"/>
  <c r="K42" i="58"/>
  <c r="O54" i="58"/>
  <c r="H37" i="58"/>
  <c r="K17" i="57"/>
  <c r="K18" i="57"/>
  <c r="B21" i="57"/>
  <c r="L23" i="57" s="1"/>
  <c r="B17" i="57"/>
  <c r="B24" i="57" s="1"/>
  <c r="I15" i="57"/>
  <c r="I16" i="57"/>
  <c r="I18" i="57"/>
  <c r="K15" i="57"/>
  <c r="I14" i="57"/>
  <c r="I17" i="57"/>
  <c r="K16" i="57"/>
  <c r="K41" i="49"/>
  <c r="O52" i="49"/>
  <c r="O53" i="49" s="1"/>
  <c r="O59" i="49"/>
  <c r="O60" i="49" s="1"/>
  <c r="H37" i="49"/>
  <c r="E41" i="49"/>
  <c r="D37" i="49"/>
  <c r="J37" i="49"/>
  <c r="O54" i="49"/>
  <c r="O61" i="49"/>
  <c r="B37" i="49"/>
  <c r="A53" i="49"/>
  <c r="L36" i="57"/>
  <c r="K36" i="57"/>
  <c r="L35" i="57"/>
  <c r="K35" i="57"/>
  <c r="J36" i="57"/>
  <c r="J35" i="57"/>
  <c r="K29" i="57"/>
  <c r="L30" i="57"/>
  <c r="L29" i="57"/>
  <c r="K30" i="57"/>
  <c r="A41" i="63" l="1"/>
  <c r="G46" i="63"/>
  <c r="H46" i="63"/>
  <c r="D48" i="63"/>
  <c r="J48" i="63" s="1"/>
  <c r="G47" i="63"/>
  <c r="B25" i="63"/>
  <c r="B47" i="63"/>
  <c r="C47" i="63"/>
  <c r="I49" i="63"/>
  <c r="H47" i="63"/>
  <c r="B49" i="63"/>
  <c r="C49" i="63"/>
  <c r="D49" i="63" s="1"/>
  <c r="J49" i="63" s="1"/>
  <c r="F52" i="63" s="1"/>
  <c r="B23" i="62"/>
  <c r="B22" i="62"/>
  <c r="J48" i="62"/>
  <c r="E52" i="62" s="1"/>
  <c r="A40" i="62"/>
  <c r="E52" i="63"/>
  <c r="D49" i="62"/>
  <c r="J49" i="62" s="1"/>
  <c r="F52" i="62" s="1"/>
  <c r="J46" i="62"/>
  <c r="C52" i="62" s="1"/>
  <c r="I47" i="62"/>
  <c r="D47" i="62"/>
  <c r="L26" i="62"/>
  <c r="L25" i="62"/>
  <c r="B24" i="62"/>
  <c r="L23" i="62"/>
  <c r="B25" i="62"/>
  <c r="B20" i="62"/>
  <c r="J23" i="62" s="1"/>
  <c r="L24" i="62"/>
  <c r="L24" i="44"/>
  <c r="B24" i="63"/>
  <c r="L22" i="63"/>
  <c r="L25" i="63"/>
  <c r="L23" i="63"/>
  <c r="B23" i="63"/>
  <c r="B20" i="63"/>
  <c r="J23" i="63" s="1"/>
  <c r="B26" i="63"/>
  <c r="L26" i="63"/>
  <c r="L24" i="63"/>
  <c r="L23" i="44"/>
  <c r="L22" i="44"/>
  <c r="B28" i="44" s="1"/>
  <c r="B22" i="44"/>
  <c r="B47" i="44"/>
  <c r="G46" i="44"/>
  <c r="L25" i="44"/>
  <c r="G47" i="44"/>
  <c r="I47" i="44" s="1"/>
  <c r="C47" i="44"/>
  <c r="B20" i="44"/>
  <c r="J23" i="44" s="1"/>
  <c r="B25" i="44"/>
  <c r="B49" i="44"/>
  <c r="C49" i="44"/>
  <c r="J17" i="44"/>
  <c r="B23" i="44"/>
  <c r="C46" i="44"/>
  <c r="B46" i="44"/>
  <c r="H46" i="44"/>
  <c r="B24" i="44"/>
  <c r="A39" i="44"/>
  <c r="L17" i="44"/>
  <c r="H49" i="44"/>
  <c r="G49" i="44"/>
  <c r="G48" i="44"/>
  <c r="I48" i="44" s="1"/>
  <c r="B26" i="44"/>
  <c r="C48" i="44"/>
  <c r="B48" i="44"/>
  <c r="J16" i="44"/>
  <c r="K44" i="60"/>
  <c r="K42" i="60"/>
  <c r="A54" i="60" s="1"/>
  <c r="O55" i="60"/>
  <c r="E43" i="60" s="1"/>
  <c r="K43" i="58"/>
  <c r="K44" i="58"/>
  <c r="E44" i="59"/>
  <c r="E43" i="59"/>
  <c r="K43" i="59"/>
  <c r="K44" i="59"/>
  <c r="K42" i="59"/>
  <c r="A54" i="59" s="1"/>
  <c r="E43" i="58"/>
  <c r="K42" i="49"/>
  <c r="A54" i="49"/>
  <c r="H47" i="57"/>
  <c r="G47" i="57"/>
  <c r="G48" i="57"/>
  <c r="H48" i="57"/>
  <c r="G49" i="57"/>
  <c r="H49" i="57"/>
  <c r="B48" i="57"/>
  <c r="C48" i="57"/>
  <c r="C46" i="57"/>
  <c r="B46" i="57"/>
  <c r="C47" i="57"/>
  <c r="B47" i="57"/>
  <c r="B49" i="57"/>
  <c r="C49" i="57"/>
  <c r="B23" i="57"/>
  <c r="B26" i="57"/>
  <c r="L26" i="57"/>
  <c r="L25" i="57"/>
  <c r="B32" i="57"/>
  <c r="B33" i="57" s="1"/>
  <c r="L24" i="57"/>
  <c r="B20" i="57"/>
  <c r="L22" i="57"/>
  <c r="B22" i="57"/>
  <c r="B25" i="57"/>
  <c r="O62" i="49"/>
  <c r="O55" i="49"/>
  <c r="E42" i="49"/>
  <c r="A49" i="49" s="1"/>
  <c r="J30" i="57"/>
  <c r="J29" i="57"/>
  <c r="L15" i="64"/>
  <c r="E15" i="64"/>
  <c r="J12" i="64"/>
  <c r="D12" i="64"/>
  <c r="O8" i="64"/>
  <c r="L8" i="64"/>
  <c r="K8" i="64"/>
  <c r="K12" i="64" s="1"/>
  <c r="L16" i="64" s="1"/>
  <c r="I8" i="64"/>
  <c r="E8" i="64"/>
  <c r="E12" i="64" s="1"/>
  <c r="E17" i="64" s="1"/>
  <c r="I46" i="63" l="1"/>
  <c r="J46" i="63" s="1"/>
  <c r="C52" i="63" s="1"/>
  <c r="D47" i="63"/>
  <c r="J47" i="63" s="1"/>
  <c r="D52" i="63" s="1"/>
  <c r="I47" i="63"/>
  <c r="J47" i="62"/>
  <c r="D52" i="62" s="1"/>
  <c r="B28" i="63"/>
  <c r="B28" i="62"/>
  <c r="J22" i="62"/>
  <c r="J26" i="62"/>
  <c r="J25" i="62"/>
  <c r="J24" i="62"/>
  <c r="I48" i="57"/>
  <c r="D48" i="57"/>
  <c r="B28" i="57"/>
  <c r="D49" i="57"/>
  <c r="I49" i="57"/>
  <c r="J49" i="57" s="1"/>
  <c r="J25" i="63"/>
  <c r="J22" i="63"/>
  <c r="J26" i="63"/>
  <c r="J24" i="63"/>
  <c r="I49" i="44"/>
  <c r="D46" i="44"/>
  <c r="J22" i="44"/>
  <c r="J26" i="44"/>
  <c r="J25" i="44"/>
  <c r="J24" i="44"/>
  <c r="I46" i="44"/>
  <c r="D47" i="44"/>
  <c r="J47" i="44" s="1"/>
  <c r="D52" i="44" s="1"/>
  <c r="A41" i="44"/>
  <c r="A40" i="44"/>
  <c r="D48" i="44"/>
  <c r="J48" i="44" s="1"/>
  <c r="E52" i="44" s="1"/>
  <c r="D49" i="44"/>
  <c r="E44" i="60"/>
  <c r="I47" i="57"/>
  <c r="D46" i="57"/>
  <c r="D47" i="57"/>
  <c r="J26" i="57"/>
  <c r="J22" i="57"/>
  <c r="J23" i="57"/>
  <c r="J24" i="57"/>
  <c r="J25" i="57"/>
  <c r="L17" i="64"/>
  <c r="E16" i="64"/>
  <c r="B27" i="62" l="1"/>
  <c r="J47" i="57"/>
  <c r="J48" i="57"/>
  <c r="B27" i="57"/>
  <c r="J46" i="44"/>
  <c r="C52" i="44" s="1"/>
  <c r="B27" i="63"/>
  <c r="B29" i="63" s="1"/>
  <c r="B31" i="63" s="1"/>
  <c r="B34" i="63" s="1"/>
  <c r="A37" i="63" s="1"/>
  <c r="B27" i="44"/>
  <c r="B29" i="44" s="1"/>
  <c r="B31" i="44" s="1"/>
  <c r="B34" i="44" s="1"/>
  <c r="A37" i="44" s="1"/>
  <c r="J49" i="44"/>
  <c r="F52" i="44" s="1"/>
  <c r="A52" i="49"/>
  <c r="A47" i="49"/>
  <c r="T47" i="49"/>
  <c r="T46" i="49"/>
  <c r="T45" i="49"/>
  <c r="T44" i="49"/>
  <c r="T43" i="49"/>
  <c r="T42" i="49"/>
  <c r="T41" i="49"/>
  <c r="T40" i="49"/>
  <c r="T39" i="49"/>
  <c r="T38" i="49"/>
  <c r="T37" i="49"/>
  <c r="T36" i="49"/>
  <c r="T35" i="49"/>
  <c r="T34" i="49"/>
  <c r="T33" i="49"/>
  <c r="T32" i="49"/>
  <c r="T31" i="49"/>
  <c r="T30" i="49"/>
  <c r="T29" i="49"/>
  <c r="T28" i="49"/>
  <c r="T27" i="49"/>
  <c r="T26" i="49"/>
  <c r="T25" i="49"/>
  <c r="T24" i="49"/>
  <c r="T23" i="49"/>
  <c r="T22" i="49"/>
  <c r="T21" i="49"/>
  <c r="T20" i="49"/>
  <c r="T19" i="49"/>
  <c r="T18" i="49"/>
  <c r="T17" i="49"/>
  <c r="T16" i="49"/>
  <c r="T15" i="49"/>
  <c r="T14" i="49"/>
  <c r="T13" i="49"/>
  <c r="T12" i="49"/>
  <c r="P47" i="49"/>
  <c r="P46" i="49"/>
  <c r="P45" i="49"/>
  <c r="P44" i="49"/>
  <c r="P43" i="49"/>
  <c r="P42" i="49"/>
  <c r="P41" i="49"/>
  <c r="P40" i="49"/>
  <c r="P39" i="49"/>
  <c r="P38" i="49"/>
  <c r="P37" i="49"/>
  <c r="P36" i="49"/>
  <c r="P35" i="49"/>
  <c r="P34" i="49"/>
  <c r="P33" i="49"/>
  <c r="P32" i="49"/>
  <c r="P31" i="49"/>
  <c r="P30" i="49"/>
  <c r="I9" i="49" s="1"/>
  <c r="P29" i="49"/>
  <c r="P28" i="49"/>
  <c r="P27" i="49"/>
  <c r="P26" i="49"/>
  <c r="P25" i="49"/>
  <c r="P24" i="49"/>
  <c r="P23" i="49"/>
  <c r="P22" i="49"/>
  <c r="P21" i="49"/>
  <c r="P20" i="49"/>
  <c r="P19" i="49"/>
  <c r="B29" i="62" l="1"/>
  <c r="B31" i="62" s="1"/>
  <c r="B34" i="62" s="1"/>
  <c r="A37" i="62" s="1"/>
  <c r="I10" i="49"/>
  <c r="P18" i="49"/>
  <c r="P17" i="49"/>
  <c r="P16" i="49"/>
  <c r="P15" i="49"/>
  <c r="P14" i="49"/>
  <c r="P13" i="49"/>
  <c r="P12" i="49"/>
  <c r="K14" i="57" l="1"/>
  <c r="H46" i="57" l="1"/>
  <c r="G46" i="57"/>
  <c r="AD12" i="45"/>
  <c r="AD24" i="45"/>
  <c r="AC25" i="45"/>
  <c r="AC26" i="45"/>
  <c r="AC27" i="45"/>
  <c r="AC28" i="45"/>
  <c r="AC24" i="45"/>
  <c r="AB25" i="45"/>
  <c r="AB26" i="45"/>
  <c r="AB27" i="45"/>
  <c r="AB28" i="45"/>
  <c r="AB24" i="45"/>
  <c r="AA25" i="45"/>
  <c r="AA26" i="45"/>
  <c r="AA27" i="45"/>
  <c r="AA28" i="45"/>
  <c r="AA24" i="45"/>
  <c r="V4" i="45"/>
  <c r="AD4" i="45" s="1"/>
  <c r="Z25" i="45"/>
  <c r="Z26" i="45"/>
  <c r="Z27" i="45"/>
  <c r="Z28" i="45"/>
  <c r="Z24" i="45"/>
  <c r="Y25" i="45"/>
  <c r="Y26" i="45"/>
  <c r="Y27" i="45"/>
  <c r="Y28" i="45"/>
  <c r="Y24" i="45"/>
  <c r="X25" i="45"/>
  <c r="X26" i="45"/>
  <c r="X27" i="45"/>
  <c r="X28" i="45"/>
  <c r="X24" i="45"/>
  <c r="W25" i="45"/>
  <c r="W26" i="45"/>
  <c r="W27" i="45"/>
  <c r="W28" i="45"/>
  <c r="W24" i="45"/>
  <c r="W20" i="45"/>
  <c r="W21" i="45"/>
  <c r="W22" i="45"/>
  <c r="W23" i="45"/>
  <c r="W19" i="45"/>
  <c r="W15" i="45"/>
  <c r="W16" i="45"/>
  <c r="W17" i="45"/>
  <c r="W18" i="45"/>
  <c r="W14" i="45"/>
  <c r="W10" i="45"/>
  <c r="W11" i="45"/>
  <c r="W12" i="45"/>
  <c r="W13" i="45"/>
  <c r="W9" i="45"/>
  <c r="W5" i="45"/>
  <c r="W6" i="45"/>
  <c r="W7" i="45"/>
  <c r="W8" i="45"/>
  <c r="W4" i="45"/>
  <c r="V25" i="45"/>
  <c r="AD25" i="45" s="1"/>
  <c r="V26" i="45"/>
  <c r="AD26" i="45" s="1"/>
  <c r="V27" i="45"/>
  <c r="AD27" i="45" s="1"/>
  <c r="V28" i="45"/>
  <c r="AD28" i="45" s="1"/>
  <c r="V24" i="45"/>
  <c r="V20" i="45"/>
  <c r="AD20" i="45" s="1"/>
  <c r="V21" i="45"/>
  <c r="AD21" i="45" s="1"/>
  <c r="V22" i="45"/>
  <c r="AD22" i="45" s="1"/>
  <c r="V23" i="45"/>
  <c r="AD23" i="45" s="1"/>
  <c r="V19" i="45"/>
  <c r="AD19" i="45" s="1"/>
  <c r="V15" i="45"/>
  <c r="AD15" i="45" s="1"/>
  <c r="V16" i="45"/>
  <c r="AD16" i="45" s="1"/>
  <c r="V17" i="45"/>
  <c r="AD17" i="45" s="1"/>
  <c r="V18" i="45"/>
  <c r="AD18" i="45" s="1"/>
  <c r="V14" i="45"/>
  <c r="AD14" i="45" s="1"/>
  <c r="V10" i="45"/>
  <c r="AD10" i="45" s="1"/>
  <c r="V11" i="45"/>
  <c r="AD11" i="45" s="1"/>
  <c r="V12" i="45"/>
  <c r="V13" i="45"/>
  <c r="AD13" i="45" s="1"/>
  <c r="V9" i="45"/>
  <c r="AD9" i="45" s="1"/>
  <c r="V5" i="45"/>
  <c r="AD5" i="45" s="1"/>
  <c r="V6" i="45"/>
  <c r="AD6" i="45" s="1"/>
  <c r="V7" i="45"/>
  <c r="AD7" i="45" s="1"/>
  <c r="V8" i="45"/>
  <c r="AD8" i="45" s="1"/>
  <c r="M4" i="45"/>
  <c r="L25" i="45"/>
  <c r="T25" i="45" s="1"/>
  <c r="L26" i="45"/>
  <c r="T26" i="45" s="1"/>
  <c r="L27" i="45"/>
  <c r="T27" i="45" s="1"/>
  <c r="L28" i="45"/>
  <c r="T28" i="45" s="1"/>
  <c r="L24" i="45"/>
  <c r="T24" i="45" s="1"/>
  <c r="L20" i="45"/>
  <c r="T20" i="45" s="1"/>
  <c r="L21" i="45"/>
  <c r="T21" i="45" s="1"/>
  <c r="L22" i="45"/>
  <c r="T22" i="45" s="1"/>
  <c r="L23" i="45"/>
  <c r="T23" i="45" s="1"/>
  <c r="L19" i="45"/>
  <c r="L15" i="45"/>
  <c r="T15" i="45" s="1"/>
  <c r="L16" i="45"/>
  <c r="T16" i="45" s="1"/>
  <c r="L17" i="45"/>
  <c r="T17" i="45" s="1"/>
  <c r="L18" i="45"/>
  <c r="T18" i="45" s="1"/>
  <c r="L14" i="45"/>
  <c r="L10" i="45"/>
  <c r="T10" i="45" s="1"/>
  <c r="L11" i="45"/>
  <c r="T11" i="45" s="1"/>
  <c r="L12" i="45"/>
  <c r="T12" i="45" s="1"/>
  <c r="L13" i="45"/>
  <c r="T13" i="45" s="1"/>
  <c r="L9" i="45"/>
  <c r="L5" i="45"/>
  <c r="T5" i="45" s="1"/>
  <c r="L6" i="45"/>
  <c r="T6" i="45" s="1"/>
  <c r="L7" i="45"/>
  <c r="T7" i="45" s="1"/>
  <c r="L8" i="45"/>
  <c r="T8" i="45" s="1"/>
  <c r="L4" i="45"/>
  <c r="T4" i="45" s="1"/>
  <c r="S25" i="45"/>
  <c r="S26" i="45"/>
  <c r="S27" i="45"/>
  <c r="S28" i="45"/>
  <c r="S24" i="45"/>
  <c r="R25" i="45"/>
  <c r="R26" i="45"/>
  <c r="R27" i="45"/>
  <c r="R28" i="45"/>
  <c r="R24" i="45"/>
  <c r="Q25" i="45"/>
  <c r="Q26" i="45"/>
  <c r="Q27" i="45"/>
  <c r="Q28" i="45"/>
  <c r="Q24" i="45"/>
  <c r="P25" i="45"/>
  <c r="P26" i="45"/>
  <c r="P27" i="45"/>
  <c r="P28" i="45"/>
  <c r="P24" i="45"/>
  <c r="O25" i="45"/>
  <c r="O26" i="45"/>
  <c r="O27" i="45"/>
  <c r="O28" i="45"/>
  <c r="O24" i="45"/>
  <c r="N25" i="45"/>
  <c r="N26" i="45"/>
  <c r="N27" i="45"/>
  <c r="N28" i="45"/>
  <c r="N24" i="45"/>
  <c r="M25" i="45"/>
  <c r="M26" i="45"/>
  <c r="M27" i="45"/>
  <c r="M28" i="45"/>
  <c r="M24" i="45"/>
  <c r="M20" i="45"/>
  <c r="M21" i="45"/>
  <c r="M22" i="45"/>
  <c r="M23" i="45"/>
  <c r="M19" i="45"/>
  <c r="M15" i="45"/>
  <c r="M16" i="45"/>
  <c r="M17" i="45"/>
  <c r="M18" i="45"/>
  <c r="M14" i="45"/>
  <c r="M10" i="45"/>
  <c r="M11" i="45"/>
  <c r="M12" i="45"/>
  <c r="M13" i="45"/>
  <c r="M9" i="45"/>
  <c r="M5" i="45"/>
  <c r="M6" i="45"/>
  <c r="M7" i="45"/>
  <c r="M8" i="45"/>
  <c r="C20" i="45"/>
  <c r="C9" i="45"/>
  <c r="C4" i="45"/>
  <c r="B4" i="45"/>
  <c r="J4" i="45" s="1"/>
  <c r="C25" i="45"/>
  <c r="C26" i="45"/>
  <c r="C27" i="45"/>
  <c r="C28" i="45"/>
  <c r="C24" i="45"/>
  <c r="C21" i="45"/>
  <c r="C22" i="45"/>
  <c r="C23" i="45"/>
  <c r="C19" i="45"/>
  <c r="C18" i="45"/>
  <c r="C17" i="45"/>
  <c r="C15" i="45"/>
  <c r="C13" i="45"/>
  <c r="C12" i="45"/>
  <c r="C11" i="45"/>
  <c r="C8" i="45"/>
  <c r="C7" i="45"/>
  <c r="C6" i="45"/>
  <c r="C5" i="45"/>
  <c r="C14" i="45"/>
  <c r="I46" i="57" l="1"/>
  <c r="J46" i="57" s="1"/>
  <c r="T19" i="45"/>
  <c r="T14" i="45"/>
  <c r="T9" i="45"/>
  <c r="K5" i="57" l="1"/>
  <c r="K37" i="57" l="1"/>
  <c r="J38" i="57"/>
  <c r="L37" i="57"/>
  <c r="J37" i="57"/>
  <c r="K38" i="57"/>
  <c r="L38" i="57"/>
  <c r="J15" i="57"/>
  <c r="J16" i="57"/>
  <c r="J17" i="57"/>
  <c r="L32" i="57"/>
  <c r="L31" i="57"/>
  <c r="K32" i="57"/>
  <c r="K31" i="57"/>
  <c r="J18" i="57"/>
  <c r="J32" i="57"/>
  <c r="J31" i="57"/>
  <c r="L18" i="57"/>
  <c r="F52" i="57" l="1"/>
  <c r="A42" i="57"/>
  <c r="L17" i="57"/>
  <c r="E52" i="57" s="1"/>
  <c r="L15" i="57"/>
  <c r="C52" i="57" s="1"/>
  <c r="L16" i="57"/>
  <c r="D52" i="57" s="1"/>
  <c r="A41" i="57" l="1"/>
  <c r="A39" i="57"/>
  <c r="A40" i="57"/>
  <c r="B28" i="45"/>
  <c r="B24" i="45"/>
  <c r="B23" i="45"/>
  <c r="B19" i="45"/>
  <c r="B18" i="45"/>
  <c r="J18" i="45" s="1"/>
  <c r="B14" i="45"/>
  <c r="J14" i="45" s="1"/>
  <c r="B13" i="45"/>
  <c r="J13" i="45" s="1"/>
  <c r="B9" i="45"/>
  <c r="J9" i="45" s="1"/>
  <c r="B8" i="45"/>
  <c r="B11" i="45" l="1"/>
  <c r="J11" i="45" s="1"/>
  <c r="J28" i="45"/>
  <c r="J24" i="45"/>
  <c r="J19" i="45"/>
  <c r="J23" i="45"/>
  <c r="J8" i="45"/>
  <c r="B21" i="45"/>
  <c r="B16" i="45"/>
  <c r="J16" i="45" s="1"/>
  <c r="B6" i="45"/>
  <c r="J6" i="45" s="1"/>
  <c r="B26" i="45"/>
  <c r="J26" i="45" s="1"/>
  <c r="J21" i="45" l="1"/>
  <c r="B25" i="45"/>
  <c r="B5" i="45"/>
  <c r="J5" i="45" s="1"/>
  <c r="B10" i="45"/>
  <c r="B20" i="45"/>
  <c r="B15" i="45"/>
  <c r="J15" i="45" s="1"/>
  <c r="B17" i="45"/>
  <c r="B22" i="45"/>
  <c r="B12" i="45"/>
  <c r="J12" i="45" s="1"/>
  <c r="B27" i="45"/>
  <c r="B7" i="45"/>
  <c r="J7" i="45" s="1"/>
  <c r="J17" i="45" l="1"/>
  <c r="J27" i="45"/>
  <c r="J22" i="45"/>
  <c r="J25" i="45"/>
  <c r="J20" i="45"/>
  <c r="J10" i="45"/>
  <c r="B29" i="57" l="1"/>
  <c r="B31" i="57" s="1"/>
  <c r="B34" i="57" s="1"/>
  <c r="A37" i="57" s="1"/>
  <c r="X20" i="45"/>
  <c r="X18" i="45"/>
  <c r="X6" i="45"/>
  <c r="X21" i="45"/>
  <c r="X14" i="45"/>
  <c r="X7" i="45"/>
  <c r="X22" i="45"/>
  <c r="X10" i="45"/>
  <c r="X8" i="45"/>
  <c r="X17" i="45"/>
  <c r="X23" i="45"/>
  <c r="X11" i="45"/>
  <c r="X4" i="45"/>
  <c r="X5" i="45"/>
  <c r="X19" i="45"/>
  <c r="X12" i="45"/>
  <c r="X15" i="45"/>
  <c r="X13" i="45"/>
  <c r="X16" i="45"/>
  <c r="X9" i="45"/>
  <c r="N15" i="45"/>
  <c r="N7" i="45"/>
  <c r="N16" i="45"/>
  <c r="N8" i="45"/>
  <c r="N17" i="45"/>
  <c r="N5" i="45"/>
  <c r="N23" i="45"/>
  <c r="N18" i="45"/>
  <c r="N4" i="45"/>
  <c r="N11" i="45"/>
  <c r="N20" i="45"/>
  <c r="N21" i="45"/>
  <c r="N12" i="45"/>
  <c r="N6" i="45"/>
  <c r="N22" i="45"/>
  <c r="N13" i="45"/>
  <c r="N19" i="45"/>
  <c r="N9" i="45"/>
  <c r="N10" i="45"/>
  <c r="N14" i="45"/>
  <c r="A48" i="49" l="1"/>
  <c r="K4" i="49"/>
  <c r="C28" i="48" l="1"/>
  <c r="B28" i="48"/>
  <c r="C27" i="48"/>
  <c r="B27" i="48"/>
  <c r="A27" i="48" s="1"/>
  <c r="C26" i="48"/>
  <c r="B26" i="48"/>
  <c r="C25" i="48"/>
  <c r="B25" i="48"/>
  <c r="C24" i="48"/>
  <c r="B24" i="48"/>
  <c r="C23" i="48"/>
  <c r="B23" i="48"/>
  <c r="C22" i="48"/>
  <c r="B22" i="48"/>
  <c r="C21" i="48"/>
  <c r="B21" i="48"/>
  <c r="A21" i="48" s="1"/>
  <c r="C20" i="48"/>
  <c r="B20" i="48"/>
  <c r="C19" i="48"/>
  <c r="B19" i="48"/>
  <c r="A19" i="48" s="1"/>
  <c r="C18" i="48"/>
  <c r="B18" i="48"/>
  <c r="A18" i="48" s="1"/>
  <c r="C17" i="48"/>
  <c r="B17" i="48"/>
  <c r="C16" i="48"/>
  <c r="B16" i="48"/>
  <c r="C15" i="48"/>
  <c r="B15" i="48"/>
  <c r="C14" i="48"/>
  <c r="B14" i="48"/>
  <c r="A14" i="48" s="1"/>
  <c r="C13" i="48"/>
  <c r="B13" i="48"/>
  <c r="A13" i="48" s="1"/>
  <c r="C12" i="48"/>
  <c r="B12" i="48"/>
  <c r="C11" i="48"/>
  <c r="B11" i="48"/>
  <c r="C10" i="48"/>
  <c r="B10" i="48"/>
  <c r="C9" i="48"/>
  <c r="B9" i="48"/>
  <c r="C8" i="48"/>
  <c r="B8" i="48"/>
  <c r="C7" i="48"/>
  <c r="B7" i="48"/>
  <c r="C6" i="48"/>
  <c r="B6" i="48"/>
  <c r="A6" i="48" s="1"/>
  <c r="C5" i="48"/>
  <c r="B5" i="48"/>
  <c r="A5" i="48" s="1"/>
  <c r="C4" i="48"/>
  <c r="B4" i="48"/>
  <c r="A11" i="48" l="1"/>
  <c r="B29" i="48"/>
  <c r="C31" i="48"/>
  <c r="A10" i="48"/>
  <c r="A26" i="48"/>
  <c r="A22" i="48"/>
  <c r="C29" i="48"/>
  <c r="J17" i="48" s="1"/>
  <c r="B31" i="48"/>
  <c r="A4" i="48"/>
  <c r="B30" i="48"/>
  <c r="A24" i="48"/>
  <c r="C30" i="48"/>
  <c r="A9" i="48"/>
  <c r="A16" i="48"/>
  <c r="A8" i="48"/>
  <c r="A17" i="48"/>
  <c r="A25" i="48"/>
  <c r="A7" i="48"/>
  <c r="A15" i="48"/>
  <c r="A23" i="48"/>
  <c r="A12" i="48"/>
  <c r="A20" i="48"/>
  <c r="A28" i="48"/>
  <c r="K44" i="49" l="1"/>
  <c r="K43" i="49"/>
  <c r="E44" i="49"/>
  <c r="E43" i="49"/>
  <c r="J6" i="48"/>
  <c r="J18" i="48"/>
  <c r="J25" i="48"/>
  <c r="J10" i="48"/>
  <c r="J15" i="48"/>
  <c r="J22" i="48"/>
  <c r="J27" i="48"/>
  <c r="J13" i="48"/>
  <c r="J8" i="48"/>
  <c r="J26" i="48"/>
  <c r="J4" i="48"/>
  <c r="J9" i="48"/>
  <c r="J12" i="48"/>
  <c r="J16" i="48"/>
  <c r="J20" i="48"/>
  <c r="J24" i="48"/>
  <c r="J28" i="48"/>
  <c r="J21" i="48"/>
  <c r="J5" i="48"/>
  <c r="J23" i="48"/>
  <c r="J14" i="48"/>
  <c r="J7" i="48"/>
  <c r="J19" i="48"/>
  <c r="J11" i="48"/>
  <c r="J31" i="48" l="1"/>
  <c r="D33" i="48" s="1"/>
  <c r="C16" i="45"/>
  <c r="C10" i="45" l="1"/>
  <c r="D28" i="45" l="1"/>
  <c r="O22" i="45" l="1"/>
  <c r="O12" i="45"/>
  <c r="O13" i="45"/>
  <c r="O23" i="45"/>
  <c r="O21" i="45"/>
  <c r="O15" i="45"/>
  <c r="O5" i="45"/>
  <c r="O7" i="45"/>
  <c r="O16" i="45"/>
  <c r="O6" i="45"/>
  <c r="O17" i="45"/>
  <c r="O18" i="45"/>
  <c r="O8" i="45"/>
  <c r="O20" i="45"/>
  <c r="O10" i="45"/>
  <c r="O4" i="45"/>
  <c r="O11" i="45"/>
  <c r="O9" i="45"/>
  <c r="O14" i="45"/>
  <c r="O19" i="45"/>
  <c r="Y21" i="45"/>
  <c r="Y14" i="45"/>
  <c r="Y6" i="45"/>
  <c r="Y22" i="45"/>
  <c r="Y10" i="45"/>
  <c r="Y7" i="45"/>
  <c r="Y23" i="45"/>
  <c r="Y11" i="45"/>
  <c r="Y4" i="45"/>
  <c r="Y19" i="45"/>
  <c r="Y12" i="45"/>
  <c r="Y15" i="45"/>
  <c r="Y13" i="45"/>
  <c r="Y5" i="45"/>
  <c r="Y16" i="45"/>
  <c r="Y9" i="45"/>
  <c r="Y20" i="45"/>
  <c r="Y17" i="45"/>
  <c r="Y8" i="45"/>
  <c r="Y18" i="45"/>
  <c r="D22" i="45"/>
  <c r="D27" i="45"/>
  <c r="D21" i="45"/>
  <c r="D26" i="45"/>
  <c r="D20" i="45"/>
  <c r="D25" i="45"/>
  <c r="D19" i="45"/>
  <c r="D24" i="45"/>
  <c r="D23" i="45"/>
  <c r="D4" i="45"/>
  <c r="D28" i="48"/>
  <c r="D12" i="45"/>
  <c r="D16" i="45"/>
  <c r="D17" i="45"/>
  <c r="D9" i="45"/>
  <c r="D18" i="45"/>
  <c r="D7" i="45"/>
  <c r="D13" i="45"/>
  <c r="D14" i="45"/>
  <c r="D6" i="45"/>
  <c r="D10" i="45"/>
  <c r="D5" i="45"/>
  <c r="D15" i="45"/>
  <c r="D11" i="45"/>
  <c r="D8" i="45"/>
  <c r="D26" i="48"/>
  <c r="D27" i="48"/>
  <c r="D24" i="48"/>
  <c r="D25" i="48"/>
  <c r="D22" i="48"/>
  <c r="D23" i="48"/>
  <c r="D20" i="48"/>
  <c r="D21" i="48"/>
  <c r="D18" i="48"/>
  <c r="D19" i="48"/>
  <c r="D16" i="48"/>
  <c r="D17" i="48"/>
  <c r="D14" i="48"/>
  <c r="D15" i="48"/>
  <c r="D12" i="48"/>
  <c r="D13" i="48"/>
  <c r="D10" i="48"/>
  <c r="D11" i="48"/>
  <c r="D8" i="48"/>
  <c r="D9" i="48"/>
  <c r="D6" i="48"/>
  <c r="D7" i="48"/>
  <c r="D4" i="48"/>
  <c r="D5" i="48"/>
  <c r="S7" i="45" l="1"/>
  <c r="S5" i="45"/>
  <c r="AC17" i="45"/>
  <c r="AC19" i="45"/>
  <c r="AC14" i="45"/>
  <c r="S20" i="45"/>
  <c r="S15" i="45"/>
  <c r="S4" i="45"/>
  <c r="AC8" i="45"/>
  <c r="S10" i="45"/>
  <c r="AC20" i="45"/>
  <c r="AC4" i="45"/>
  <c r="AC21" i="45"/>
  <c r="S8" i="45"/>
  <c r="S21" i="45"/>
  <c r="AC22" i="45"/>
  <c r="AC12" i="45"/>
  <c r="AC6" i="45"/>
  <c r="AC9" i="45"/>
  <c r="AC11" i="45"/>
  <c r="S19" i="45"/>
  <c r="S18" i="45"/>
  <c r="S23" i="45"/>
  <c r="AC18" i="45"/>
  <c r="AC16" i="45"/>
  <c r="AC23" i="45"/>
  <c r="S14" i="45"/>
  <c r="S17" i="45"/>
  <c r="S13" i="45"/>
  <c r="AC7" i="45"/>
  <c r="S9" i="45"/>
  <c r="S12" i="45"/>
  <c r="AC15" i="45"/>
  <c r="AC5" i="45"/>
  <c r="S6" i="45"/>
  <c r="AC13" i="45"/>
  <c r="AC10" i="45"/>
  <c r="S11" i="45"/>
  <c r="S16" i="45"/>
  <c r="S22" i="45"/>
  <c r="D31" i="48"/>
  <c r="E4" i="45"/>
  <c r="F28" i="45" l="1"/>
  <c r="F4" i="45"/>
  <c r="E27" i="45"/>
  <c r="E28" i="45"/>
  <c r="F18" i="45"/>
  <c r="F23" i="45"/>
  <c r="F8" i="45"/>
  <c r="F13" i="45"/>
  <c r="F22" i="45"/>
  <c r="F27" i="45"/>
  <c r="G27" i="45" s="1"/>
  <c r="I27" i="45"/>
  <c r="E26" i="45"/>
  <c r="I26" i="45" s="1"/>
  <c r="E22" i="45"/>
  <c r="F12" i="45"/>
  <c r="F17" i="45"/>
  <c r="F26" i="45"/>
  <c r="F7" i="45"/>
  <c r="F16" i="45"/>
  <c r="F21" i="45"/>
  <c r="E25" i="45"/>
  <c r="I25" i="45" s="1"/>
  <c r="E21" i="45"/>
  <c r="F6" i="45"/>
  <c r="F11" i="45"/>
  <c r="F20" i="45"/>
  <c r="F25" i="45"/>
  <c r="E10" i="45"/>
  <c r="E20" i="45"/>
  <c r="F10" i="45"/>
  <c r="F15" i="45"/>
  <c r="F24" i="45"/>
  <c r="F5" i="45"/>
  <c r="E19" i="45"/>
  <c r="I19" i="45" s="1"/>
  <c r="E24" i="45"/>
  <c r="F14" i="45"/>
  <c r="F19" i="45"/>
  <c r="F9" i="45"/>
  <c r="E23" i="45"/>
  <c r="G23" i="45" s="1"/>
  <c r="E28" i="48"/>
  <c r="K28" i="48" s="1"/>
  <c r="E12" i="45"/>
  <c r="E14" i="45"/>
  <c r="E11" i="45"/>
  <c r="E18" i="45"/>
  <c r="E6" i="45"/>
  <c r="E15" i="45"/>
  <c r="E5" i="45"/>
  <c r="E8" i="45"/>
  <c r="E9" i="45"/>
  <c r="E13" i="45"/>
  <c r="E16" i="45"/>
  <c r="E17" i="45"/>
  <c r="E7" i="45"/>
  <c r="I28" i="48"/>
  <c r="E26" i="48"/>
  <c r="I26" i="48" s="1"/>
  <c r="E27" i="48"/>
  <c r="E24" i="48"/>
  <c r="K24" i="48" s="1"/>
  <c r="E25" i="48"/>
  <c r="E22" i="48"/>
  <c r="K22" i="48" s="1"/>
  <c r="E23" i="48"/>
  <c r="E20" i="48"/>
  <c r="K20" i="48" s="1"/>
  <c r="E21" i="48"/>
  <c r="E18" i="48"/>
  <c r="I18" i="48" s="1"/>
  <c r="E19" i="48"/>
  <c r="E16" i="48"/>
  <c r="I16" i="48" s="1"/>
  <c r="E17" i="48"/>
  <c r="E14" i="48"/>
  <c r="I14" i="48" s="1"/>
  <c r="E15" i="48"/>
  <c r="E12" i="48"/>
  <c r="K12" i="48" s="1"/>
  <c r="E13" i="48"/>
  <c r="E10" i="48"/>
  <c r="I10" i="48" s="1"/>
  <c r="E11" i="48"/>
  <c r="E8" i="48"/>
  <c r="I8" i="48" s="1"/>
  <c r="E9" i="48"/>
  <c r="E6" i="48"/>
  <c r="I6" i="48" s="1"/>
  <c r="E7" i="48"/>
  <c r="E4" i="48"/>
  <c r="I4" i="48" s="1"/>
  <c r="E5" i="48"/>
  <c r="H23" i="45" l="1"/>
  <c r="H28" i="45"/>
  <c r="G28" i="45"/>
  <c r="I28" i="45"/>
  <c r="I23" i="45"/>
  <c r="H26" i="45"/>
  <c r="H27" i="45"/>
  <c r="G22" i="45"/>
  <c r="H22" i="45"/>
  <c r="I22" i="45"/>
  <c r="G25" i="45"/>
  <c r="G26" i="45"/>
  <c r="H21" i="45"/>
  <c r="G21" i="45"/>
  <c r="I21" i="45"/>
  <c r="H25" i="45"/>
  <c r="H19" i="45"/>
  <c r="H20" i="45"/>
  <c r="G20" i="45"/>
  <c r="I20" i="45"/>
  <c r="H24" i="45"/>
  <c r="G24" i="45"/>
  <c r="I24" i="45"/>
  <c r="G19" i="45"/>
  <c r="H4" i="45"/>
  <c r="I4" i="45"/>
  <c r="G4" i="45"/>
  <c r="I7" i="45"/>
  <c r="G7" i="45"/>
  <c r="H7" i="45"/>
  <c r="I10" i="45"/>
  <c r="G10" i="45"/>
  <c r="H10" i="45"/>
  <c r="G17" i="45"/>
  <c r="H17" i="45"/>
  <c r="I17" i="45"/>
  <c r="G15" i="45"/>
  <c r="H15" i="45"/>
  <c r="I15" i="45"/>
  <c r="H6" i="45"/>
  <c r="G6" i="45"/>
  <c r="I6" i="45"/>
  <c r="H16" i="45"/>
  <c r="G16" i="45"/>
  <c r="I16" i="45"/>
  <c r="I18" i="45"/>
  <c r="G18" i="45"/>
  <c r="H18" i="45"/>
  <c r="H5" i="45"/>
  <c r="I5" i="45"/>
  <c r="G5" i="45"/>
  <c r="H13" i="45"/>
  <c r="I13" i="45"/>
  <c r="G13" i="45"/>
  <c r="I11" i="45"/>
  <c r="G11" i="45"/>
  <c r="H11" i="45"/>
  <c r="G9" i="45"/>
  <c r="H9" i="45"/>
  <c r="I9" i="45"/>
  <c r="H14" i="45"/>
  <c r="I14" i="45"/>
  <c r="G14" i="45"/>
  <c r="G8" i="45"/>
  <c r="H8" i="45"/>
  <c r="I8" i="45"/>
  <c r="I12" i="45"/>
  <c r="G12" i="45"/>
  <c r="H12" i="45"/>
  <c r="I24" i="48"/>
  <c r="I22" i="48"/>
  <c r="K26" i="48"/>
  <c r="I27" i="48"/>
  <c r="K27" i="48"/>
  <c r="I25" i="48"/>
  <c r="K25" i="48"/>
  <c r="I23" i="48"/>
  <c r="K23" i="48"/>
  <c r="K16" i="48"/>
  <c r="K18" i="48"/>
  <c r="I20" i="48"/>
  <c r="K14" i="48"/>
  <c r="K21" i="48"/>
  <c r="I21" i="48"/>
  <c r="I19" i="48"/>
  <c r="K19" i="48"/>
  <c r="I12" i="48"/>
  <c r="I17" i="48"/>
  <c r="K17" i="48"/>
  <c r="K10" i="48"/>
  <c r="I15" i="48"/>
  <c r="K15" i="48"/>
  <c r="I13" i="48"/>
  <c r="K13" i="48"/>
  <c r="K8" i="48"/>
  <c r="I11" i="48"/>
  <c r="K11" i="48"/>
  <c r="K6" i="48"/>
  <c r="K4" i="48"/>
  <c r="K9" i="48"/>
  <c r="I9" i="48"/>
  <c r="I7" i="48"/>
  <c r="K7" i="48"/>
  <c r="D38" i="48"/>
  <c r="D39" i="48" s="1"/>
  <c r="E31" i="48"/>
  <c r="K5" i="48"/>
  <c r="I5" i="48"/>
  <c r="P21" i="45" l="1"/>
  <c r="P12" i="45"/>
  <c r="P4" i="45"/>
  <c r="P7" i="45"/>
  <c r="P18" i="45"/>
  <c r="P11" i="45"/>
  <c r="P17" i="45"/>
  <c r="P16" i="45"/>
  <c r="P8" i="45"/>
  <c r="P19" i="45"/>
  <c r="P10" i="45"/>
  <c r="P5" i="45"/>
  <c r="P23" i="45"/>
  <c r="P14" i="45"/>
  <c r="P13" i="45"/>
  <c r="P20" i="45"/>
  <c r="P15" i="45"/>
  <c r="P9" i="45"/>
  <c r="P22" i="45"/>
  <c r="P6" i="45"/>
  <c r="Z20" i="45"/>
  <c r="Z7" i="45"/>
  <c r="Z17" i="45"/>
  <c r="Z19" i="45"/>
  <c r="Z4" i="45"/>
  <c r="Z10" i="45"/>
  <c r="Z9" i="45"/>
  <c r="Z13" i="45"/>
  <c r="Z12" i="45"/>
  <c r="Z5" i="45"/>
  <c r="Z6" i="45"/>
  <c r="Z18" i="45"/>
  <c r="Z15" i="45"/>
  <c r="Z22" i="45"/>
  <c r="Z8" i="45"/>
  <c r="Z14" i="45"/>
  <c r="Z11" i="45"/>
  <c r="Z16" i="45"/>
  <c r="Z23" i="45"/>
  <c r="Z21" i="45"/>
  <c r="F27" i="48"/>
  <c r="H27" i="48" s="1"/>
  <c r="F28" i="48"/>
  <c r="F25" i="48"/>
  <c r="G25" i="48" s="1"/>
  <c r="F26" i="48"/>
  <c r="F23" i="48"/>
  <c r="G23" i="48" s="1"/>
  <c r="F24" i="48"/>
  <c r="F21" i="48"/>
  <c r="H21" i="48" s="1"/>
  <c r="F22" i="48"/>
  <c r="F19" i="48"/>
  <c r="G19" i="48" s="1"/>
  <c r="F20" i="48"/>
  <c r="F17" i="48"/>
  <c r="G17" i="48" s="1"/>
  <c r="F18" i="48"/>
  <c r="F15" i="48"/>
  <c r="H15" i="48" s="1"/>
  <c r="F16" i="48"/>
  <c r="F13" i="48"/>
  <c r="G13" i="48" s="1"/>
  <c r="F14" i="48"/>
  <c r="F11" i="48"/>
  <c r="H11" i="48" s="1"/>
  <c r="F12" i="48"/>
  <c r="I31" i="48"/>
  <c r="D34" i="48" s="1"/>
  <c r="D35" i="48" s="1"/>
  <c r="D36" i="48" s="1"/>
  <c r="D37" i="48" s="1"/>
  <c r="K31" i="48"/>
  <c r="F9" i="48"/>
  <c r="H9" i="48" s="1"/>
  <c r="F10" i="48"/>
  <c r="F7" i="48"/>
  <c r="H7" i="48" s="1"/>
  <c r="F8" i="48"/>
  <c r="F5" i="48"/>
  <c r="H5" i="48" s="1"/>
  <c r="F6" i="48"/>
  <c r="F4" i="48"/>
  <c r="Q16" i="45" l="1"/>
  <c r="R16" i="45"/>
  <c r="AB23" i="45"/>
  <c r="AA23" i="45"/>
  <c r="AB6" i="45"/>
  <c r="AA6" i="45"/>
  <c r="AA17" i="45"/>
  <c r="AB17" i="45"/>
  <c r="Q13" i="45"/>
  <c r="R13" i="45"/>
  <c r="Q17" i="45"/>
  <c r="R17" i="45"/>
  <c r="AB21" i="45"/>
  <c r="AA21" i="45"/>
  <c r="AB16" i="45"/>
  <c r="AA16" i="45"/>
  <c r="AA5" i="45"/>
  <c r="AB5" i="45"/>
  <c r="AB7" i="45"/>
  <c r="AA7" i="45"/>
  <c r="R14" i="45"/>
  <c r="Q14" i="45"/>
  <c r="R11" i="45"/>
  <c r="Q11" i="45"/>
  <c r="AA11" i="45"/>
  <c r="AB11" i="45"/>
  <c r="AB12" i="45"/>
  <c r="AA12" i="45"/>
  <c r="AB20" i="45"/>
  <c r="AA20" i="45"/>
  <c r="R23" i="45"/>
  <c r="Q23" i="45"/>
  <c r="Q18" i="45"/>
  <c r="R18" i="45"/>
  <c r="AB18" i="45"/>
  <c r="AA18" i="45"/>
  <c r="AB14" i="45"/>
  <c r="AA14" i="45"/>
  <c r="AB13" i="45"/>
  <c r="AA13" i="45"/>
  <c r="Q6" i="45"/>
  <c r="R6" i="45"/>
  <c r="R5" i="45"/>
  <c r="Q5" i="45"/>
  <c r="Q7" i="45"/>
  <c r="R7" i="45"/>
  <c r="R20" i="45"/>
  <c r="Q20" i="45"/>
  <c r="AB8" i="45"/>
  <c r="AA8" i="45"/>
  <c r="AB9" i="45"/>
  <c r="AA9" i="45"/>
  <c r="Q22" i="45"/>
  <c r="R22" i="45"/>
  <c r="R10" i="45"/>
  <c r="Q10" i="45"/>
  <c r="R4" i="45"/>
  <c r="Q4" i="45"/>
  <c r="AA22" i="45"/>
  <c r="AB22" i="45"/>
  <c r="AB10" i="45"/>
  <c r="AA10" i="45"/>
  <c r="Q9" i="45"/>
  <c r="R9" i="45"/>
  <c r="Q19" i="45"/>
  <c r="R19" i="45"/>
  <c r="Q12" i="45"/>
  <c r="R12" i="45"/>
  <c r="AB19" i="45"/>
  <c r="AA19" i="45"/>
  <c r="AA15" i="45"/>
  <c r="AB15" i="45"/>
  <c r="AA4" i="45"/>
  <c r="AB4" i="45"/>
  <c r="Q15" i="45"/>
  <c r="R15" i="45"/>
  <c r="R8" i="45"/>
  <c r="Q8" i="45"/>
  <c r="Q21" i="45"/>
  <c r="R21" i="45"/>
  <c r="D40" i="48"/>
  <c r="G27" i="48"/>
  <c r="H28" i="48"/>
  <c r="G28" i="48"/>
  <c r="H25" i="48"/>
  <c r="H26" i="48"/>
  <c r="G26" i="48"/>
  <c r="H23" i="48"/>
  <c r="H24" i="48"/>
  <c r="G24" i="48"/>
  <c r="G21" i="48"/>
  <c r="G22" i="48"/>
  <c r="H22" i="48"/>
  <c r="H19" i="48"/>
  <c r="G20" i="48"/>
  <c r="H20" i="48"/>
  <c r="H17" i="48"/>
  <c r="H18" i="48"/>
  <c r="G18" i="48"/>
  <c r="G15" i="48"/>
  <c r="H16" i="48"/>
  <c r="G16" i="48"/>
  <c r="H13" i="48"/>
  <c r="H14" i="48"/>
  <c r="G14" i="48"/>
  <c r="G11" i="48"/>
  <c r="H12" i="48"/>
  <c r="G12" i="48"/>
  <c r="G9" i="48"/>
  <c r="G10" i="48"/>
  <c r="H10" i="48"/>
  <c r="G7" i="48"/>
  <c r="G8" i="48"/>
  <c r="H8" i="48"/>
  <c r="G5" i="48"/>
  <c r="G6" i="48"/>
  <c r="H6" i="48"/>
  <c r="F31" i="48"/>
  <c r="H4" i="48"/>
  <c r="G4" i="48"/>
  <c r="H31" i="48" l="1"/>
  <c r="G31" i="48"/>
</calcChain>
</file>

<file path=xl/sharedStrings.xml><?xml version="1.0" encoding="utf-8"?>
<sst xmlns="http://schemas.openxmlformats.org/spreadsheetml/2006/main" count="1352" uniqueCount="269">
  <si>
    <t>%CV</t>
  </si>
  <si>
    <t>Mean</t>
  </si>
  <si>
    <t>Replicate</t>
  </si>
  <si>
    <t>SD</t>
  </si>
  <si>
    <t>mg/dL</t>
  </si>
  <si>
    <t>Date:</t>
  </si>
  <si>
    <t>Count</t>
  </si>
  <si>
    <t>Control</t>
  </si>
  <si>
    <t>INTERFERENCE SCREENING STUDY</t>
  </si>
  <si>
    <t>C1</t>
  </si>
  <si>
    <t>C2</t>
  </si>
  <si>
    <t>C3</t>
  </si>
  <si>
    <t>C4</t>
  </si>
  <si>
    <t>C5</t>
  </si>
  <si>
    <t>C6</t>
  </si>
  <si>
    <t>C7</t>
  </si>
  <si>
    <t>C8</t>
  </si>
  <si>
    <t>C9</t>
  </si>
  <si>
    <t>C10</t>
  </si>
  <si>
    <t>T1</t>
  </si>
  <si>
    <t>T2</t>
  </si>
  <si>
    <t>T3</t>
  </si>
  <si>
    <t>T4</t>
  </si>
  <si>
    <t>T5</t>
  </si>
  <si>
    <t>T6</t>
  </si>
  <si>
    <t>T7</t>
  </si>
  <si>
    <t>T8</t>
  </si>
  <si>
    <t>T9</t>
  </si>
  <si>
    <t>T10</t>
  </si>
  <si>
    <t>Difference (Test - Control Means)</t>
  </si>
  <si>
    <t>Instrument</t>
  </si>
  <si>
    <t>Units</t>
  </si>
  <si>
    <t>Hitachi 911</t>
  </si>
  <si>
    <t>Low Pool</t>
  </si>
  <si>
    <t>High Pool</t>
  </si>
  <si>
    <t>Glucose</t>
  </si>
  <si>
    <t>Test</t>
  </si>
  <si>
    <t>Analyte</t>
  </si>
  <si>
    <t>Method</t>
  </si>
  <si>
    <t>Reagent Lot#</t>
  </si>
  <si>
    <t>Calibrator Lot#</t>
  </si>
  <si>
    <t>Hemolysate</t>
  </si>
  <si>
    <t>Test Substance</t>
  </si>
  <si>
    <t>Estimated within-run SD</t>
  </si>
  <si>
    <t>C11</t>
  </si>
  <si>
    <t>C12</t>
  </si>
  <si>
    <t>C13</t>
  </si>
  <si>
    <t>C14</t>
  </si>
  <si>
    <t>C15</t>
  </si>
  <si>
    <t>C16</t>
  </si>
  <si>
    <t>C17</t>
  </si>
  <si>
    <t>C18</t>
  </si>
  <si>
    <t>C19</t>
  </si>
  <si>
    <t>C20</t>
  </si>
  <si>
    <t>T11</t>
  </si>
  <si>
    <t>T12</t>
  </si>
  <si>
    <t>T13</t>
  </si>
  <si>
    <t>T14</t>
  </si>
  <si>
    <t>T15</t>
  </si>
  <si>
    <t>T16</t>
  </si>
  <si>
    <t>T17</t>
  </si>
  <si>
    <t>T18</t>
  </si>
  <si>
    <t>T19</t>
  </si>
  <si>
    <t>T20</t>
  </si>
  <si>
    <t>Conclusions: Low Pool</t>
  </si>
  <si>
    <t>Conclusions: High Pool</t>
  </si>
  <si>
    <t>APPROVED:</t>
  </si>
  <si>
    <t>Name:</t>
  </si>
  <si>
    <t>Technician</t>
  </si>
  <si>
    <t>JHC</t>
  </si>
  <si>
    <t>(Xi-Xm)^2</t>
  </si>
  <si>
    <t>95%CI</t>
  </si>
  <si>
    <t>Low CL</t>
  </si>
  <si>
    <t>High CL</t>
  </si>
  <si>
    <t>(Yi-Yp)^2</t>
  </si>
  <si>
    <t>Intercept</t>
  </si>
  <si>
    <t>r</t>
  </si>
  <si>
    <t>SE(slope)</t>
  </si>
  <si>
    <t>N</t>
  </si>
  <si>
    <t>DF</t>
  </si>
  <si>
    <t>Interferent</t>
  </si>
  <si>
    <t>Concentration</t>
  </si>
  <si>
    <t>Level</t>
  </si>
  <si>
    <t>Creatinine</t>
  </si>
  <si>
    <t>r2</t>
  </si>
  <si>
    <t>Rep 1</t>
  </si>
  <si>
    <t>Rep 2</t>
  </si>
  <si>
    <t>Rep 3</t>
  </si>
  <si>
    <t>Rep 4</t>
  </si>
  <si>
    <t>Rep 5</t>
  </si>
  <si>
    <r>
      <t>S</t>
    </r>
    <r>
      <rPr>
        <b/>
        <vertAlign val="subscript"/>
        <sz val="10"/>
        <rFont val="Arial"/>
        <family val="2"/>
      </rPr>
      <t>y/x</t>
    </r>
  </si>
  <si>
    <t>Pred Conc</t>
  </si>
  <si>
    <t>Sum (Xi-Xm)^2</t>
  </si>
  <si>
    <t>Mean X</t>
  </si>
  <si>
    <t>Slope</t>
  </si>
  <si>
    <t>t-Comparison</t>
  </si>
  <si>
    <t>ANALYTE 1</t>
  </si>
  <si>
    <t>Conclusions: Dose-Response Experiment</t>
  </si>
  <si>
    <t>Interference</t>
  </si>
  <si>
    <t>t-statistic</t>
  </si>
  <si>
    <t>DOSE-RESPONSE CALCULATIONS FIVE POINTS: ANALYTE 1</t>
  </si>
  <si>
    <t>s = repeatability standard deviation (within-run SD) of the measurement procedure</t>
  </si>
  <si>
    <t>No. of Replicates</t>
  </si>
  <si>
    <t>DOSE-RESPONSE CALCULATIONS FIVE POINTS: ANALYTE 2</t>
  </si>
  <si>
    <t>DOSE-RESPONSE CALCULATIONS FIVE POINTS: ANALYTE 3</t>
  </si>
  <si>
    <t>FIVE LEVEL INTERFERENCE DOSE RESPONSE STUDY</t>
  </si>
  <si>
    <t>Sum</t>
  </si>
  <si>
    <t>(Yi-Ym)^2</t>
  </si>
  <si>
    <t>SSTotal=</t>
  </si>
  <si>
    <t>SSResidual=</t>
  </si>
  <si>
    <t>(Yp-Ym)^2</t>
  </si>
  <si>
    <t>SSRegression=</t>
  </si>
  <si>
    <t>r^2=</t>
  </si>
  <si>
    <t>r=</t>
  </si>
  <si>
    <t>slope=</t>
  </si>
  <si>
    <t>intercept=</t>
  </si>
  <si>
    <t>Sy/x=</t>
  </si>
  <si>
    <t>Upper 95% Confidence Interval for the Difference</t>
  </si>
  <si>
    <t>Lower 95% Confidence Interval for the Difference</t>
  </si>
  <si>
    <t>Roche Jaffe</t>
  </si>
  <si>
    <t>Enter Information and data in required fields (Yellow)</t>
  </si>
  <si>
    <t>Roche HK</t>
  </si>
  <si>
    <t>Absolute</t>
  </si>
  <si>
    <t>Percent</t>
  </si>
  <si>
    <t>POINT-TO-POINT INTERFERENCE CUTPOINT ESTIMATE</t>
  </si>
  <si>
    <t>Level 2 to Level 3</t>
  </si>
  <si>
    <t>Level 3 to Level 4</t>
  </si>
  <si>
    <t>Level 4 to Level 5</t>
  </si>
  <si>
    <t>Absolute Difference</t>
  </si>
  <si>
    <t>Percent Difference</t>
  </si>
  <si>
    <t>*A minimum of 5 repicates is recommended</t>
  </si>
  <si>
    <t>Notes:</t>
  </si>
  <si>
    <t>If there are more than  two (2) missing data points (out of 25) consider repeating the experiment.</t>
  </si>
  <si>
    <t>Review data for outliers and exclude data with an assignable cause. If there is more than one outlier consider repeating the experiment.</t>
  </si>
  <si>
    <t>Alternatively, generate additional measurements to replace missing values; understanding that total measurement variability may increase.</t>
  </si>
  <si>
    <t>4*</t>
  </si>
  <si>
    <t>3*</t>
  </si>
  <si>
    <t>1-Sided</t>
  </si>
  <si>
    <t>2-Sided</t>
  </si>
  <si>
    <t xml:space="preserve">Two-sided Test with 5% Probability of Type 1 Error </t>
  </si>
  <si>
    <t>and 10% Probability of Type II Error (90% Power)</t>
  </si>
  <si>
    <t xml:space="preserve">One-sided Test with 5% Probability of Type 1 Error </t>
  </si>
  <si>
    <t>2*</t>
  </si>
  <si>
    <r>
      <t>d</t>
    </r>
    <r>
      <rPr>
        <b/>
        <vertAlign val="subscript"/>
        <sz val="11"/>
        <rFont val="Arial"/>
        <family val="2"/>
      </rPr>
      <t xml:space="preserve">max </t>
    </r>
    <r>
      <rPr>
        <b/>
        <sz val="11"/>
        <rFont val="Arial"/>
        <family val="2"/>
      </rPr>
      <t>/ s</t>
    </r>
  </si>
  <si>
    <r>
      <t>d</t>
    </r>
    <r>
      <rPr>
        <vertAlign val="subscript"/>
        <sz val="11"/>
        <rFont val="Arial"/>
        <family val="2"/>
      </rPr>
      <t xml:space="preserve">max </t>
    </r>
    <r>
      <rPr>
        <sz val="11"/>
        <rFont val="Arial"/>
        <family val="2"/>
      </rPr>
      <t>= maximum allowable difference to be detected at the analyte test concentration</t>
    </r>
  </si>
  <si>
    <t>and 20% Probability of Type II Error (80% Power)</t>
  </si>
  <si>
    <t xml:space="preserve">      </t>
  </si>
  <si>
    <t>Sept. 6, 2018</t>
  </si>
  <si>
    <t>Cobas</t>
  </si>
  <si>
    <t>Triglycerides (Lipemia)</t>
  </si>
  <si>
    <t>t-value</t>
  </si>
  <si>
    <t>alpha</t>
  </si>
  <si>
    <t>Difference</t>
  </si>
  <si>
    <t xml:space="preserve">Concentration </t>
  </si>
  <si>
    <t>Level 1 to Level 2</t>
  </si>
  <si>
    <t>Allowable Interferent Concentration</t>
  </si>
  <si>
    <r>
      <t>Slope p</t>
    </r>
    <r>
      <rPr>
        <b/>
        <sz val="10"/>
        <rFont val="Calibri"/>
        <family val="2"/>
      </rPr>
      <t>≤</t>
    </r>
    <r>
      <rPr>
        <b/>
        <sz val="10"/>
        <rFont val="Arial"/>
        <family val="2"/>
      </rPr>
      <t>0.05?</t>
    </r>
  </si>
  <si>
    <t>A reference for determining the number of replicates required for your Interference experiment.</t>
  </si>
  <si>
    <t>If there are missing data points (less than required replicates) repeat the experiment.</t>
  </si>
  <si>
    <t>p-value, 2-tailed, equal variance</t>
  </si>
  <si>
    <t>*Enter Dmax as absolute concentration, percent difference or both</t>
  </si>
  <si>
    <t>*Maximum Allowable Difference (Dmax), Percent</t>
  </si>
  <si>
    <t>Enter concentrations of Levels 1 and 5, and intermIxed levels will be calculated; Otherwise, enter concentrations for all five levels.</t>
  </si>
  <si>
    <r>
      <t>z1-</t>
    </r>
    <r>
      <rPr>
        <sz val="10"/>
        <rFont val="Calibri"/>
        <family val="2"/>
      </rPr>
      <t>β</t>
    </r>
  </si>
  <si>
    <r>
      <t>1-</t>
    </r>
    <r>
      <rPr>
        <sz val="10"/>
        <rFont val="Calibri"/>
        <family val="2"/>
      </rPr>
      <t>α</t>
    </r>
  </si>
  <si>
    <r>
      <t>z1-</t>
    </r>
    <r>
      <rPr>
        <sz val="10"/>
        <rFont val="Calibri"/>
        <family val="2"/>
      </rPr>
      <t>α</t>
    </r>
  </si>
  <si>
    <r>
      <t>1-</t>
    </r>
    <r>
      <rPr>
        <sz val="10"/>
        <rFont val="Calibri"/>
        <family val="2"/>
      </rPr>
      <t>β</t>
    </r>
  </si>
  <si>
    <t>Alpha</t>
  </si>
  <si>
    <t>Beta</t>
  </si>
  <si>
    <t>Tails</t>
  </si>
  <si>
    <t>α</t>
  </si>
  <si>
    <t>β</t>
  </si>
  <si>
    <t>Replicates required, 1-tailed test</t>
  </si>
  <si>
    <t>Replicates required, 2-tailed test</t>
  </si>
  <si>
    <t>Number</t>
  </si>
  <si>
    <t>Note: A minimum of 5 replicates is recommended.</t>
  </si>
  <si>
    <t>95% CI</t>
  </si>
  <si>
    <t>p-value, 1-tailed, equal variance</t>
  </si>
  <si>
    <t xml:space="preserve">Note: Screening spreadsheet will also calculate sample size. </t>
  </si>
  <si>
    <t>TEST POOL CALCULATOR</t>
  </si>
  <si>
    <t>Date</t>
  </si>
  <si>
    <t>Tech</t>
  </si>
  <si>
    <t xml:space="preserve">Use this calculator when the base pool concentration of interferent is negligible. </t>
  </si>
  <si>
    <t>Step 1:  Determine Required Concentration of Interferent for Test Pool</t>
  </si>
  <si>
    <t>Step 1:  Determine Concentration of Interferent in sample and in test pool</t>
  </si>
  <si>
    <t>Measured  Interferent Concentration</t>
  </si>
  <si>
    <t>Dilution Factor Used for Measurement (B8)</t>
  </si>
  <si>
    <t xml:space="preserve">Interferent Concentration </t>
  </si>
  <si>
    <t>Diluted Interferent Concentration</t>
  </si>
  <si>
    <t>Dilution Factor Used for Measurement (H7)</t>
  </si>
  <si>
    <t>Step 2:  Calculate Volumes for Test Pool</t>
  </si>
  <si>
    <t>Step 2:  Calculate concentrated interferent and base pool addition</t>
  </si>
  <si>
    <t>Desired Test Pool Volume (mL)</t>
  </si>
  <si>
    <t>Target Interferent Concentration</t>
  </si>
  <si>
    <t>Volume of Concentrated Interferent Required (mL)</t>
  </si>
  <si>
    <t>Step 3: Prepare Test Pool</t>
  </si>
  <si>
    <t>mL</t>
  </si>
  <si>
    <r>
      <rPr>
        <i/>
        <sz val="11"/>
        <color theme="1"/>
        <rFont val="Calibri"/>
        <family val="2"/>
        <scheme val="minor"/>
      </rPr>
      <t xml:space="preserve">Remove from base pool </t>
    </r>
    <r>
      <rPr>
        <sz val="10"/>
        <rFont val="Arial"/>
        <family val="2"/>
      </rPr>
      <t>amount equal to volume of interferent to add</t>
    </r>
  </si>
  <si>
    <t>Triglycerides</t>
  </si>
  <si>
    <t>Jan 25. 2019</t>
  </si>
  <si>
    <t>Measure Base Pool into appropriate container, Total Volume:</t>
  </si>
  <si>
    <t>Add Interferent Stock</t>
  </si>
  <si>
    <r>
      <t xml:space="preserve">Remove from base pool </t>
    </r>
    <r>
      <rPr>
        <sz val="10"/>
        <rFont val="Arial"/>
        <family val="2"/>
      </rPr>
      <t>amount equal to volume of interferent to add</t>
    </r>
  </si>
  <si>
    <t>Endogenous Interferent Concentration (Base Pool)</t>
  </si>
  <si>
    <t>Test Substance (Interferent)</t>
  </si>
  <si>
    <t>%</t>
  </si>
  <si>
    <t>Limit</t>
  </si>
  <si>
    <t>Exceeded?</t>
  </si>
  <si>
    <t>Xi-Xm^2</t>
  </si>
  <si>
    <t>Yi-Ym^2</t>
  </si>
  <si>
    <t>X1</t>
  </si>
  <si>
    <t>X5</t>
  </si>
  <si>
    <t>Y1</t>
  </si>
  <si>
    <t>Y5</t>
  </si>
  <si>
    <t>Use this calculator when the base pool contains endogenous interferent.                       Recommended for Triglycerides, Protein, and most endogenous interferents.</t>
  </si>
  <si>
    <t>and 5% Probability of Type II Error (95% Power)</t>
  </si>
  <si>
    <t>Greater</t>
  </si>
  <si>
    <t>Abs or %</t>
  </si>
  <si>
    <t>Control Line</t>
  </si>
  <si>
    <t>(+) Dmax</t>
  </si>
  <si>
    <t>(-) Dmax</t>
  </si>
  <si>
    <t>(-)%Dmax</t>
  </si>
  <si>
    <t>(+)%Dmax</t>
  </si>
  <si>
    <t>*=B34+D34-2</t>
  </si>
  <si>
    <t>*=T.INV.2T(O51,52)</t>
  </si>
  <si>
    <t>*=SQRT(((B36^2)/B34)+((D36^2)/D34))</t>
  </si>
  <si>
    <t>*=O53*O54</t>
  </si>
  <si>
    <t>*=H34+J34-2</t>
  </si>
  <si>
    <t>*=T.INV.2T(O58,O59)</t>
  </si>
  <si>
    <t>*=SQRT(((H36^2)/H34)+((J36^2)/J34))</t>
  </si>
  <si>
    <t>*=O60*O61</t>
  </si>
  <si>
    <t>Dmax, %</t>
  </si>
  <si>
    <t>Dmax, concentration</t>
  </si>
  <si>
    <t>*Enter required replicates or enter Dmax (cencentration) and Within-Run SD for estimate.</t>
  </si>
  <si>
    <t>Conclusion based on statistical significance is provided for informational purposes. CLSI EP7 recommends interpretation based on clinical utility.</t>
  </si>
  <si>
    <t>*Maximum Allowable Difference (Dmax), Concentration</t>
  </si>
  <si>
    <t xml:space="preserve">Slope  </t>
  </si>
  <si>
    <t>Sum (Yi-Ym)^2</t>
  </si>
  <si>
    <t>X2</t>
  </si>
  <si>
    <t>X3</t>
  </si>
  <si>
    <t>X4</t>
  </si>
  <si>
    <t xml:space="preserve">X5 </t>
  </si>
  <si>
    <t>Mean Y</t>
  </si>
  <si>
    <t>Y2</t>
  </si>
  <si>
    <t>Y3</t>
  </si>
  <si>
    <t>Y4</t>
  </si>
  <si>
    <t>INTERPOLATED:</t>
  </si>
  <si>
    <t>ANALYTE 2</t>
  </si>
  <si>
    <t>ANALYTE 3</t>
  </si>
  <si>
    <t>Level 1-2</t>
  </si>
  <si>
    <t>Level 2-3</t>
  </si>
  <si>
    <t>Level 3-4</t>
  </si>
  <si>
    <t>Level 4-5</t>
  </si>
  <si>
    <t>Data Entry and Analysis</t>
  </si>
  <si>
    <t xml:space="preserve">The spreadsheets are designed to CLSI recommendations. The cells highlighted in yellow are cells that require input of information and data. </t>
  </si>
  <si>
    <t xml:space="preserve">1. The first worksheet in the workbook is a Test Pool Calculator. Use this sheet to verify concentrations of interferent in the Assurance Interference Kits and also to calculate the required amount of Interference Material to add to the Base Pool to create the Test Pools. The section on the right side of the page is useful if the Base Pool contains endogenous interferents such as protein and triglycerides. The worksheet will calculate the amount of additional Interferent to add to reach the target concentration for testing. </t>
  </si>
  <si>
    <t>2. The second page includes Replicate Tables to help determining the required number of replicates of Test and Control Pool for use with the Screening experiments. However, the Interference Screening Study worksheet will also calculate the number of replicates required, if Within-Run Standard Deviation and maximum allowable difference (Dmax) between Test and Control Pools are defined.</t>
  </si>
  <si>
    <t>If in doubt, we suggest using a two-tailed test with an alpha of 5% (0.05) and a beta of 0.1 (10%).</t>
  </si>
  <si>
    <t>3. For the Screening Experiment worksheets, enter the test results for Control and Test Pools, and the spreadsheet will calculate the difference, percent difference, upper and lower 95% confidence intervals for the difference, and a p-value for a two-sample t-test with equal variances. The t-test and 95% confidence intervals are provided for information purposes only; CLSI recommends interpreting the difference in terms of clinical significance—defined as a difference less than the Dmax.</t>
  </si>
  <si>
    <t>Also, the spreadsheet will interpret the results for statistical and clinical significance.</t>
  </si>
  <si>
    <t>The Worksheet includes a signature line and can be printed out to provide a summary of the experiments and the conclusions.</t>
  </si>
  <si>
    <t>4. The Workbook also includes worksheets for dose-response experiments. Enter the Interferent concentrations of levels 1 and 5 and the intermediate concentrations will be calculated. Enter the test results and the means, difference, and percent difference will be calculated, in comparison to Interferent level 1.</t>
  </si>
  <si>
    <t>The worksheet will also plot analyte concentration (Y) versus interference concentration (X) and calculate slope, intercept, and whether the slope is significantly different from zero. A slope of zero indicates that there is no association between analyte concentration and interferent concentration. This statistical test is provided for informational purposes only as CLSI recommends an interpretation based on clinical difference (Dmax) only.</t>
  </si>
  <si>
    <t>Also, the worksheet will interpret concentration differences and/or percent differences depending on whether Dmax is defined as an absolute concentration or a percent difference. If Dmax is defined as both an absolute difference and percent difference the interpretation of clinical difference will require both to be greater than Dmax.</t>
  </si>
  <si>
    <t>Finally, the worksheet will interpolate between each level of interferent to calculate the exact interferent concentration that is &gt; Dmax. If multiple concentrations are provided, the correct concentration is the one that corresponds to the lowest interferent level that exceeds Dmax.</t>
  </si>
  <si>
    <t>The Dose-Response  worksheet also includes a signature line and can be printed out as a summary report.</t>
  </si>
  <si>
    <t>For Technical Assistance or Support, email support@sundiagnostics.us or call 1-877-SUN-DIAG (1-877-786-3424).</t>
  </si>
  <si>
    <r>
      <t>1</t>
    </r>
    <r>
      <rPr>
        <sz val="8"/>
        <rFont val="Calibri"/>
        <family val="2"/>
      </rPr>
      <t>CLSI, Interference Testing in Clinical Chemistry; Approved Guidelines, 2</t>
    </r>
    <r>
      <rPr>
        <vertAlign val="superscript"/>
        <sz val="8"/>
        <rFont val="Calibri"/>
        <family val="2"/>
      </rPr>
      <t>ND</t>
    </r>
    <r>
      <rPr>
        <sz val="8"/>
        <rFont val="Calibri"/>
        <family val="2"/>
      </rPr>
      <t xml:space="preserve"> ed, CLSI Document EP07-A2, Wayne, PA, 2005.</t>
    </r>
  </si>
  <si>
    <r>
      <t>2</t>
    </r>
    <r>
      <rPr>
        <sz val="8"/>
        <rFont val="Calibri"/>
        <family val="2"/>
      </rPr>
      <t>Sonntag O, Scholer A. Drug interference in clinical chemistry: recommendations of drugs and their concentration to be used in drug interference studies. Ann Clin Biochem 2001; 38:376-385.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</si>
</sst>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00"/>
    <numFmt numFmtId="166" formatCode="0.0"/>
    <numFmt numFmtId="167" formatCode="0.0%"/>
    <numFmt numFmtId="168" formatCode="0.00000"/>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u/>
      <sz val="10"/>
      <name val="Arial"/>
      <family val="2"/>
    </font>
    <font>
      <b/>
      <vertAlign val="subscript"/>
      <sz val="10"/>
      <name val="Arial"/>
      <family val="2"/>
    </font>
    <font>
      <b/>
      <sz val="11"/>
      <name val="Arial"/>
      <family val="2"/>
    </font>
    <font>
      <sz val="11"/>
      <name val="Arial"/>
      <family val="2"/>
    </font>
    <font>
      <b/>
      <vertAlign val="subscript"/>
      <sz val="11"/>
      <name val="Arial"/>
      <family val="2"/>
    </font>
    <font>
      <vertAlign val="subscript"/>
      <sz val="11"/>
      <name val="Arial"/>
      <family val="2"/>
    </font>
    <font>
      <b/>
      <sz val="10"/>
      <name val="Calibri"/>
      <family val="2"/>
    </font>
    <font>
      <sz val="10"/>
      <name val="Calibri"/>
      <family val="2"/>
    </font>
    <font>
      <b/>
      <sz val="11"/>
      <color theme="1"/>
      <name val="Calibri"/>
      <family val="2"/>
      <scheme val="minor"/>
    </font>
    <font>
      <b/>
      <sz val="18"/>
      <color theme="1"/>
      <name val="Calibri"/>
      <family val="2"/>
      <scheme val="minor"/>
    </font>
    <font>
      <b/>
      <sz val="17"/>
      <color theme="1"/>
      <name val="Calibri"/>
      <family val="2"/>
      <scheme val="minor"/>
    </font>
    <font>
      <sz val="17"/>
      <name val="Arial"/>
      <family val="2"/>
    </font>
    <font>
      <i/>
      <sz val="11"/>
      <color theme="1"/>
      <name val="Calibri"/>
      <family val="2"/>
      <scheme val="minor"/>
    </font>
    <font>
      <b/>
      <sz val="11"/>
      <color rgb="FF000000"/>
      <name val="Arial"/>
      <family val="2"/>
    </font>
    <font>
      <sz val="11"/>
      <color rgb="FF000000"/>
      <name val="Arial"/>
      <family val="2"/>
    </font>
    <font>
      <i/>
      <sz val="11"/>
      <color rgb="FF000000"/>
      <name val="Arial"/>
      <family val="2"/>
    </font>
    <font>
      <b/>
      <sz val="10"/>
      <color rgb="FF000000"/>
      <name val="Arial"/>
      <family val="2"/>
    </font>
    <font>
      <vertAlign val="superscript"/>
      <sz val="8"/>
      <name val="Calibri"/>
      <family val="2"/>
    </font>
    <font>
      <sz val="8"/>
      <name val="Calibri"/>
      <family val="2"/>
    </font>
    <font>
      <u/>
      <sz val="10"/>
      <color theme="10"/>
      <name val="Arial"/>
      <family val="2"/>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s>
  <cellStyleXfs count="5">
    <xf numFmtId="0" fontId="0" fillId="0" borderId="0"/>
    <xf numFmtId="9" fontId="4" fillId="0" borderId="0" applyFont="0" applyFill="0" applyBorder="0" applyAlignment="0" applyProtection="0"/>
    <xf numFmtId="0" fontId="3" fillId="0" borderId="0"/>
    <xf numFmtId="0" fontId="2" fillId="0" borderId="0"/>
    <xf numFmtId="0" fontId="26" fillId="0" borderId="0" applyNumberFormat="0" applyFill="0" applyBorder="0" applyAlignment="0" applyProtection="0"/>
  </cellStyleXfs>
  <cellXfs count="365">
    <xf numFmtId="0" fontId="0" fillId="0" borderId="0" xfId="0"/>
    <xf numFmtId="0" fontId="5" fillId="0" borderId="0" xfId="0" applyFont="1"/>
    <xf numFmtId="0" fontId="0" fillId="0" borderId="0" xfId="0" applyAlignment="1">
      <alignment horizontal="center"/>
    </xf>
    <xf numFmtId="0" fontId="0" fillId="0" borderId="0" xfId="0" applyAlignment="1">
      <alignment horizontal="left"/>
    </xf>
    <xf numFmtId="0" fontId="0" fillId="0" borderId="0" xfId="0" applyBorder="1"/>
    <xf numFmtId="0" fontId="6" fillId="0" borderId="0" xfId="0" applyFont="1" applyBorder="1" applyAlignment="1">
      <alignment horizontal="center"/>
    </xf>
    <xf numFmtId="0" fontId="5" fillId="0" borderId="0" xfId="0" applyFont="1" applyAlignment="1">
      <alignment horizontal="center"/>
    </xf>
    <xf numFmtId="2" fontId="0" fillId="0" borderId="0" xfId="0" applyNumberFormat="1" applyFill="1" applyBorder="1" applyAlignment="1">
      <alignment horizontal="center"/>
    </xf>
    <xf numFmtId="0" fontId="0" fillId="0" borderId="0" xfId="0" applyFill="1" applyBorder="1" applyAlignment="1">
      <alignment horizontal="center"/>
    </xf>
    <xf numFmtId="0" fontId="0" fillId="0" borderId="0" xfId="0" applyFill="1" applyBorder="1"/>
    <xf numFmtId="0" fontId="5" fillId="0" borderId="0" xfId="0" applyFont="1" applyBorder="1"/>
    <xf numFmtId="164" fontId="0" fillId="0" borderId="0" xfId="0" applyNumberFormat="1" applyFill="1" applyBorder="1" applyAlignment="1">
      <alignment horizontal="center"/>
    </xf>
    <xf numFmtId="0" fontId="6" fillId="0" borderId="0" xfId="0" applyFont="1"/>
    <xf numFmtId="164" fontId="0" fillId="0" borderId="0" xfId="0" applyNumberFormat="1" applyAlignment="1">
      <alignment horizontal="center"/>
    </xf>
    <xf numFmtId="0" fontId="5" fillId="0" borderId="5" xfId="0" applyFont="1" applyBorder="1"/>
    <xf numFmtId="0" fontId="0" fillId="0" borderId="6" xfId="0" applyFill="1" applyBorder="1" applyAlignment="1">
      <alignment horizontal="center"/>
    </xf>
    <xf numFmtId="0" fontId="0" fillId="0" borderId="8" xfId="0" applyBorder="1"/>
    <xf numFmtId="0" fontId="0" fillId="0" borderId="9" xfId="0" applyBorder="1"/>
    <xf numFmtId="2" fontId="0" fillId="0" borderId="0" xfId="0" applyNumberFormat="1" applyAlignment="1">
      <alignment horizontal="center"/>
    </xf>
    <xf numFmtId="10" fontId="0" fillId="0" borderId="0" xfId="0" applyNumberFormat="1" applyAlignment="1">
      <alignment horizontal="center"/>
    </xf>
    <xf numFmtId="2" fontId="5" fillId="0" borderId="0" xfId="0" applyNumberFormat="1" applyFont="1" applyAlignment="1">
      <alignment horizontal="center"/>
    </xf>
    <xf numFmtId="0" fontId="7" fillId="0" borderId="0" xfId="0" applyFont="1"/>
    <xf numFmtId="0" fontId="0" fillId="0" borderId="0" xfId="0" applyBorder="1" applyAlignment="1">
      <alignment horizontal="center"/>
    </xf>
    <xf numFmtId="164" fontId="5" fillId="0" borderId="0" xfId="0" applyNumberFormat="1" applyFont="1" applyAlignment="1">
      <alignment horizontal="center"/>
    </xf>
    <xf numFmtId="0" fontId="6" fillId="0" borderId="8" xfId="0" applyFont="1" applyBorder="1"/>
    <xf numFmtId="0" fontId="5" fillId="0" borderId="7" xfId="0" applyFont="1" applyFill="1" applyBorder="1"/>
    <xf numFmtId="0" fontId="6" fillId="0" borderId="6" xfId="0" applyFont="1" applyBorder="1" applyAlignment="1">
      <alignment horizontal="center"/>
    </xf>
    <xf numFmtId="0" fontId="6" fillId="0" borderId="6" xfId="0" applyFont="1" applyFill="1" applyBorder="1" applyAlignment="1">
      <alignment horizontal="center"/>
    </xf>
    <xf numFmtId="14" fontId="0" fillId="0" borderId="0" xfId="0" applyNumberFormat="1" applyBorder="1" applyAlignment="1">
      <alignment horizontal="center"/>
    </xf>
    <xf numFmtId="165" fontId="0" fillId="0" borderId="0" xfId="0" applyNumberFormat="1" applyAlignment="1">
      <alignment horizontal="center"/>
    </xf>
    <xf numFmtId="166" fontId="5" fillId="0" borderId="0" xfId="0" applyNumberFormat="1" applyFont="1" applyFill="1" applyBorder="1" applyAlignment="1">
      <alignment horizontal="center"/>
    </xf>
    <xf numFmtId="0" fontId="5" fillId="0" borderId="0" xfId="0" applyFont="1" applyFill="1" applyBorder="1" applyAlignment="1">
      <alignment horizontal="center"/>
    </xf>
    <xf numFmtId="166" fontId="0" fillId="0" borderId="0" xfId="0" applyNumberFormat="1" applyFill="1" applyBorder="1" applyAlignment="1">
      <alignment horizontal="center"/>
    </xf>
    <xf numFmtId="165" fontId="0" fillId="0" borderId="0" xfId="0" applyNumberFormat="1" applyFill="1" applyBorder="1" applyAlignment="1">
      <alignment horizontal="center"/>
    </xf>
    <xf numFmtId="0" fontId="0" fillId="0" borderId="1" xfId="0" applyBorder="1" applyAlignment="1">
      <alignment horizontal="center"/>
    </xf>
    <xf numFmtId="0" fontId="5" fillId="0" borderId="12" xfId="0" applyFont="1" applyBorder="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4" xfId="0" applyFont="1" applyBorder="1" applyAlignment="1">
      <alignment horizontal="center"/>
    </xf>
    <xf numFmtId="2" fontId="0" fillId="0" borderId="1" xfId="0" applyNumberFormat="1" applyBorder="1" applyAlignment="1">
      <alignment horizontal="center"/>
    </xf>
    <xf numFmtId="164" fontId="0" fillId="0" borderId="1" xfId="0" applyNumberFormat="1" applyBorder="1" applyAlignment="1">
      <alignment horizontal="center"/>
    </xf>
    <xf numFmtId="1" fontId="5" fillId="0" borderId="1" xfId="0" applyNumberFormat="1" applyFont="1" applyBorder="1" applyAlignment="1">
      <alignment horizontal="center"/>
    </xf>
    <xf numFmtId="0" fontId="0" fillId="0" borderId="1" xfId="0" applyBorder="1"/>
    <xf numFmtId="0" fontId="5" fillId="0" borderId="13" xfId="0" applyFont="1" applyBorder="1" applyAlignment="1">
      <alignment horizontal="center"/>
    </xf>
    <xf numFmtId="0" fontId="5" fillId="0" borderId="14" xfId="0" applyFont="1" applyBorder="1" applyAlignment="1">
      <alignment horizontal="center"/>
    </xf>
    <xf numFmtId="0" fontId="5" fillId="0" borderId="1" xfId="0" applyFont="1" applyFill="1" applyBorder="1" applyAlignment="1">
      <alignment horizontal="center"/>
    </xf>
    <xf numFmtId="0" fontId="0" fillId="0" borderId="1" xfId="0" applyFill="1" applyBorder="1" applyAlignment="1">
      <alignment horizontal="center"/>
    </xf>
    <xf numFmtId="165" fontId="0" fillId="0" borderId="1" xfId="0" applyNumberFormat="1" applyBorder="1" applyAlignment="1">
      <alignment horizontal="center"/>
    </xf>
    <xf numFmtId="0" fontId="4" fillId="0" borderId="0" xfId="0" applyFont="1" applyFill="1" applyBorder="1"/>
    <xf numFmtId="0" fontId="4" fillId="0" borderId="0" xfId="0" applyFont="1"/>
    <xf numFmtId="0" fontId="0" fillId="0" borderId="1" xfId="0" applyFill="1" applyBorder="1"/>
    <xf numFmtId="166" fontId="0" fillId="0" borderId="1" xfId="0" applyNumberFormat="1" applyFill="1" applyBorder="1" applyAlignment="1">
      <alignment horizontal="center"/>
    </xf>
    <xf numFmtId="166" fontId="5" fillId="0" borderId="1" xfId="0" applyNumberFormat="1" applyFont="1" applyBorder="1" applyAlignment="1">
      <alignment horizontal="center"/>
    </xf>
    <xf numFmtId="0" fontId="0" fillId="0" borderId="1" xfId="0" applyBorder="1" applyAlignment="1">
      <alignment horizontal="center"/>
    </xf>
    <xf numFmtId="0" fontId="5" fillId="0" borderId="1" xfId="0" applyFont="1" applyFill="1" applyBorder="1" applyAlignment="1">
      <alignment horizontal="center"/>
    </xf>
    <xf numFmtId="0" fontId="0" fillId="0" borderId="1" xfId="0" applyBorder="1" applyAlignment="1">
      <alignment horizontal="center"/>
    </xf>
    <xf numFmtId="0" fontId="5" fillId="0" borderId="12" xfId="0" applyFont="1" applyBorder="1" applyAlignment="1">
      <alignment horizontal="center"/>
    </xf>
    <xf numFmtId="0" fontId="5" fillId="0" borderId="11" xfId="0" applyFont="1" applyBorder="1" applyAlignment="1">
      <alignment horizontal="center"/>
    </xf>
    <xf numFmtId="1" fontId="0" fillId="0" borderId="0" xfId="0" applyNumberFormat="1"/>
    <xf numFmtId="166" fontId="0" fillId="0" borderId="0" xfId="0" applyNumberFormat="1"/>
    <xf numFmtId="2" fontId="0" fillId="0" borderId="0" xfId="0" applyNumberFormat="1"/>
    <xf numFmtId="1" fontId="5" fillId="0" borderId="0" xfId="0" applyNumberFormat="1" applyFont="1" applyFill="1" applyBorder="1" applyAlignment="1">
      <alignment horizontal="center"/>
    </xf>
    <xf numFmtId="0" fontId="6" fillId="0" borderId="0" xfId="0" applyFont="1" applyProtection="1"/>
    <xf numFmtId="0" fontId="0" fillId="0" borderId="0" xfId="0" applyProtection="1"/>
    <xf numFmtId="0" fontId="5" fillId="0" borderId="0" xfId="0" applyFont="1" applyProtection="1"/>
    <xf numFmtId="0" fontId="0" fillId="0" borderId="0" xfId="0" applyBorder="1" applyAlignment="1" applyProtection="1">
      <alignment horizontal="center"/>
    </xf>
    <xf numFmtId="0" fontId="0" fillId="0" borderId="0" xfId="0" applyBorder="1" applyProtection="1"/>
    <xf numFmtId="0" fontId="0" fillId="0" borderId="0" xfId="0" applyFill="1" applyBorder="1" applyProtection="1"/>
    <xf numFmtId="0" fontId="0" fillId="0" borderId="0" xfId="0" applyFill="1" applyProtection="1"/>
    <xf numFmtId="0" fontId="0" fillId="0" borderId="0" xfId="0" applyAlignment="1" applyProtection="1">
      <alignment horizontal="center"/>
    </xf>
    <xf numFmtId="0" fontId="6" fillId="0" borderId="0" xfId="0" applyFont="1" applyBorder="1" applyAlignment="1" applyProtection="1">
      <alignment horizontal="center"/>
    </xf>
    <xf numFmtId="0" fontId="5" fillId="0" borderId="0" xfId="0" applyFont="1" applyAlignment="1" applyProtection="1">
      <alignment horizontal="center"/>
    </xf>
    <xf numFmtId="0" fontId="7" fillId="0" borderId="0" xfId="0" applyFont="1" applyProtection="1"/>
    <xf numFmtId="2" fontId="5" fillId="0" borderId="0" xfId="0" applyNumberFormat="1" applyFont="1" applyAlignment="1" applyProtection="1">
      <alignment horizontal="center"/>
    </xf>
    <xf numFmtId="0" fontId="6" fillId="0" borderId="0" xfId="0" applyFont="1" applyFill="1" applyBorder="1" applyProtection="1"/>
    <xf numFmtId="0" fontId="5" fillId="0" borderId="1" xfId="0" applyFont="1" applyBorder="1" applyProtection="1"/>
    <xf numFmtId="0" fontId="5" fillId="0" borderId="12" xfId="0" applyFont="1" applyBorder="1" applyAlignment="1" applyProtection="1">
      <alignment horizontal="center"/>
    </xf>
    <xf numFmtId="0" fontId="5" fillId="0" borderId="11" xfId="0" applyFont="1" applyBorder="1" applyAlignment="1" applyProtection="1">
      <alignment horizontal="center"/>
    </xf>
    <xf numFmtId="166" fontId="0" fillId="0" borderId="1" xfId="0" applyNumberFormat="1" applyBorder="1" applyAlignment="1" applyProtection="1">
      <alignment horizontal="center"/>
    </xf>
    <xf numFmtId="167" fontId="0" fillId="0" borderId="1" xfId="0" applyNumberFormat="1" applyBorder="1" applyAlignment="1" applyProtection="1">
      <alignment horizontal="center"/>
    </xf>
    <xf numFmtId="0" fontId="5" fillId="0" borderId="0" xfId="0" applyFont="1" applyBorder="1" applyAlignment="1" applyProtection="1">
      <alignment horizontal="center"/>
    </xf>
    <xf numFmtId="166" fontId="0" fillId="0" borderId="0" xfId="0" applyNumberFormat="1" applyFill="1" applyBorder="1" applyAlignment="1" applyProtection="1">
      <alignment horizontal="center"/>
    </xf>
    <xf numFmtId="0" fontId="5" fillId="0" borderId="0" xfId="0" applyFont="1" applyFill="1" applyBorder="1" applyAlignment="1" applyProtection="1">
      <alignment horizontal="center"/>
    </xf>
    <xf numFmtId="2" fontId="0" fillId="0" borderId="1" xfId="0" applyNumberFormat="1" applyBorder="1" applyAlignment="1" applyProtection="1">
      <alignment horizontal="center"/>
    </xf>
    <xf numFmtId="2" fontId="0" fillId="0" borderId="0" xfId="0" applyNumberFormat="1" applyBorder="1" applyAlignment="1" applyProtection="1">
      <alignment horizontal="center"/>
    </xf>
    <xf numFmtId="167" fontId="0" fillId="0" borderId="0" xfId="0" applyNumberFormat="1" applyFill="1" applyBorder="1" applyAlignment="1" applyProtection="1">
      <alignment horizontal="center"/>
    </xf>
    <xf numFmtId="2" fontId="0" fillId="0" borderId="0" xfId="0" applyNumberFormat="1" applyFill="1" applyBorder="1" applyAlignment="1" applyProtection="1">
      <alignment horizontal="center"/>
    </xf>
    <xf numFmtId="9" fontId="0" fillId="0" borderId="0" xfId="0" applyNumberFormat="1" applyFill="1" applyBorder="1" applyProtection="1"/>
    <xf numFmtId="9" fontId="0" fillId="0" borderId="0" xfId="0" applyNumberFormat="1" applyProtection="1"/>
    <xf numFmtId="165" fontId="0" fillId="0" borderId="1" xfId="0" applyNumberFormat="1" applyBorder="1" applyAlignment="1" applyProtection="1">
      <alignment horizontal="center"/>
    </xf>
    <xf numFmtId="165" fontId="0" fillId="0" borderId="0" xfId="0" applyNumberFormat="1" applyBorder="1" applyAlignment="1" applyProtection="1">
      <alignment horizontal="center"/>
    </xf>
    <xf numFmtId="165" fontId="0" fillId="0" borderId="0" xfId="0" applyNumberFormat="1" applyFill="1" applyBorder="1" applyAlignment="1" applyProtection="1">
      <alignment horizontal="center"/>
    </xf>
    <xf numFmtId="0" fontId="4" fillId="0" borderId="0" xfId="0" applyFont="1" applyFill="1" applyBorder="1" applyProtection="1"/>
    <xf numFmtId="164" fontId="0" fillId="0" borderId="1" xfId="0" applyNumberFormat="1" applyBorder="1" applyAlignment="1" applyProtection="1">
      <alignment horizontal="center"/>
    </xf>
    <xf numFmtId="0" fontId="5" fillId="0" borderId="1" xfId="0" applyFont="1" applyFill="1" applyBorder="1" applyProtection="1"/>
    <xf numFmtId="1" fontId="0" fillId="0" borderId="1" xfId="0" applyNumberFormat="1" applyBorder="1" applyAlignment="1" applyProtection="1">
      <alignment horizontal="center"/>
    </xf>
    <xf numFmtId="165" fontId="5" fillId="0" borderId="1" xfId="0" applyNumberFormat="1" applyFont="1" applyBorder="1" applyAlignment="1" applyProtection="1">
      <alignment horizontal="center"/>
    </xf>
    <xf numFmtId="165" fontId="0" fillId="0" borderId="0" xfId="0" applyNumberFormat="1" applyFill="1" applyBorder="1" applyAlignment="1" applyProtection="1"/>
    <xf numFmtId="0" fontId="5" fillId="0" borderId="0" xfId="0" applyFont="1" applyFill="1" applyBorder="1" applyAlignment="1" applyProtection="1"/>
    <xf numFmtId="166" fontId="5" fillId="0" borderId="0" xfId="0" applyNumberFormat="1" applyFont="1" applyFill="1" applyBorder="1" applyAlignment="1" applyProtection="1">
      <alignment horizontal="center"/>
    </xf>
    <xf numFmtId="1" fontId="0" fillId="0" borderId="0" xfId="0" applyNumberFormat="1" applyFill="1" applyBorder="1" applyAlignment="1" applyProtection="1">
      <alignment horizontal="center"/>
    </xf>
    <xf numFmtId="164" fontId="0" fillId="0" borderId="0" xfId="0" applyNumberFormat="1" applyFill="1" applyBorder="1" applyAlignment="1" applyProtection="1">
      <alignment horizontal="center"/>
    </xf>
    <xf numFmtId="165" fontId="5" fillId="0" borderId="0" xfId="0" applyNumberFormat="1" applyFont="1" applyFill="1" applyBorder="1" applyAlignment="1" applyProtection="1">
      <alignment horizontal="center"/>
    </xf>
    <xf numFmtId="9" fontId="0" fillId="0" borderId="0" xfId="0" applyNumberFormat="1" applyFill="1" applyBorder="1" applyAlignment="1" applyProtection="1">
      <alignment horizontal="center"/>
    </xf>
    <xf numFmtId="166" fontId="0" fillId="2" borderId="1" xfId="0" applyNumberFormat="1" applyFill="1" applyBorder="1" applyAlignment="1" applyProtection="1">
      <alignment horizontal="center"/>
      <protection locked="0"/>
    </xf>
    <xf numFmtId="0" fontId="4" fillId="0" borderId="0" xfId="0" applyFont="1" applyProtection="1"/>
    <xf numFmtId="0" fontId="0" fillId="0" borderId="0" xfId="0" applyAlignment="1" applyProtection="1"/>
    <xf numFmtId="0" fontId="0" fillId="0" borderId="4" xfId="0" applyBorder="1" applyAlignment="1" applyProtection="1"/>
    <xf numFmtId="0" fontId="0" fillId="0" borderId="0" xfId="0" applyBorder="1" applyAlignment="1" applyProtection="1"/>
    <xf numFmtId="0" fontId="5" fillId="0" borderId="0" xfId="0" applyFont="1" applyFill="1" applyBorder="1" applyProtection="1"/>
    <xf numFmtId="2" fontId="4" fillId="0" borderId="0" xfId="0" applyNumberFormat="1" applyFont="1" applyAlignment="1" applyProtection="1">
      <alignment horizontal="center"/>
    </xf>
    <xf numFmtId="165" fontId="0" fillId="0" borderId="0" xfId="0" applyNumberFormat="1"/>
    <xf numFmtId="165" fontId="5" fillId="0" borderId="0" xfId="0" applyNumberFormat="1" applyFont="1"/>
    <xf numFmtId="165" fontId="4" fillId="0" borderId="22" xfId="0" applyNumberFormat="1" applyFont="1" applyBorder="1" applyAlignment="1">
      <alignment horizontal="center" vertical="center"/>
    </xf>
    <xf numFmtId="165" fontId="4" fillId="0" borderId="23" xfId="0" applyNumberFormat="1" applyFont="1" applyBorder="1" applyAlignment="1">
      <alignment horizontal="center" vertical="center"/>
    </xf>
    <xf numFmtId="0" fontId="10" fillId="0" borderId="0" xfId="0" applyFont="1" applyAlignment="1">
      <alignment vertical="center"/>
    </xf>
    <xf numFmtId="0" fontId="10" fillId="0" borderId="0" xfId="0" applyFont="1" applyAlignment="1"/>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167" fontId="0" fillId="0" borderId="0" xfId="1" applyNumberFormat="1" applyFont="1" applyAlignment="1">
      <alignment horizontal="center"/>
    </xf>
    <xf numFmtId="0" fontId="5" fillId="3" borderId="1" xfId="0" applyFont="1" applyFill="1" applyBorder="1" applyAlignment="1" applyProtection="1">
      <alignment horizontal="center" vertical="center"/>
      <protection locked="0"/>
    </xf>
    <xf numFmtId="0" fontId="0" fillId="0" borderId="0" xfId="0" applyFill="1" applyBorder="1" applyProtection="1">
      <protection locked="0"/>
    </xf>
    <xf numFmtId="166" fontId="0" fillId="0" borderId="0" xfId="0" applyNumberFormat="1" applyFill="1" applyBorder="1" applyAlignment="1" applyProtection="1">
      <alignment horizontal="center"/>
      <protection locked="0"/>
    </xf>
    <xf numFmtId="0" fontId="7" fillId="0" borderId="0" xfId="0" applyFont="1" applyFill="1" applyBorder="1" applyProtection="1"/>
    <xf numFmtId="2" fontId="5" fillId="0" borderId="0" xfId="0" applyNumberFormat="1" applyFont="1" applyFill="1" applyBorder="1" applyAlignment="1" applyProtection="1">
      <alignment horizontal="center"/>
    </xf>
    <xf numFmtId="166" fontId="5" fillId="0" borderId="0" xfId="0" applyNumberFormat="1" applyFont="1" applyAlignment="1" applyProtection="1">
      <alignment horizontal="center"/>
    </xf>
    <xf numFmtId="0" fontId="5" fillId="5" borderId="24" xfId="0" applyFont="1" applyFill="1" applyBorder="1" applyProtection="1"/>
    <xf numFmtId="0" fontId="5" fillId="5" borderId="25" xfId="0" applyFont="1" applyFill="1" applyBorder="1" applyProtection="1"/>
    <xf numFmtId="165" fontId="5" fillId="5" borderId="25" xfId="0" applyNumberFormat="1" applyFont="1" applyFill="1" applyBorder="1" applyAlignment="1" applyProtection="1">
      <alignment horizontal="center"/>
    </xf>
    <xf numFmtId="0" fontId="5" fillId="0" borderId="1" xfId="0" applyFont="1" applyBorder="1" applyAlignment="1" applyProtection="1">
      <alignment horizontal="center"/>
    </xf>
    <xf numFmtId="0" fontId="0" fillId="0" borderId="1" xfId="0" applyBorder="1" applyAlignment="1" applyProtection="1">
      <alignment horizontal="center"/>
    </xf>
    <xf numFmtId="0" fontId="6" fillId="0" borderId="1" xfId="0" applyFont="1" applyBorder="1" applyAlignment="1" applyProtection="1">
      <alignment horizontal="center"/>
    </xf>
    <xf numFmtId="0" fontId="5" fillId="0" borderId="1" xfId="0" applyFont="1" applyFill="1" applyBorder="1" applyAlignment="1" applyProtection="1">
      <alignment horizontal="center"/>
    </xf>
    <xf numFmtId="0" fontId="0" fillId="0" borderId="0" xfId="0" applyFill="1" applyBorder="1" applyAlignment="1" applyProtection="1">
      <alignment horizontal="center"/>
      <protection locked="0"/>
    </xf>
    <xf numFmtId="0" fontId="0" fillId="0" borderId="0" xfId="0" applyFill="1" applyBorder="1" applyAlignment="1" applyProtection="1"/>
    <xf numFmtId="167" fontId="0" fillId="0" borderId="0"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0" fontId="6" fillId="0" borderId="0" xfId="0" applyFont="1" applyFill="1" applyBorder="1" applyAlignment="1" applyProtection="1">
      <alignment horizontal="center"/>
    </xf>
    <xf numFmtId="0" fontId="0" fillId="0" borderId="0" xfId="0" applyFill="1" applyBorder="1" applyAlignment="1" applyProtection="1">
      <alignment horizontal="center"/>
    </xf>
    <xf numFmtId="0" fontId="5" fillId="0" borderId="1" xfId="0" applyFont="1" applyBorder="1" applyAlignment="1" applyProtection="1">
      <alignment horizontal="center"/>
    </xf>
    <xf numFmtId="0" fontId="0" fillId="0" borderId="1" xfId="0" applyBorder="1" applyAlignment="1" applyProtection="1">
      <alignment horizontal="center"/>
    </xf>
    <xf numFmtId="0" fontId="0" fillId="0" borderId="1" xfId="0" applyFill="1" applyBorder="1" applyAlignment="1" applyProtection="1">
      <alignment horizontal="center"/>
      <protection locked="0"/>
    </xf>
    <xf numFmtId="2" fontId="0" fillId="0" borderId="1" xfId="0" applyNumberFormat="1" applyBorder="1" applyAlignment="1">
      <alignment horizontal="center"/>
    </xf>
    <xf numFmtId="0" fontId="0" fillId="0" borderId="1" xfId="0" applyBorder="1" applyAlignment="1">
      <alignment horizontal="center"/>
    </xf>
    <xf numFmtId="0" fontId="5" fillId="0" borderId="12" xfId="0" applyFont="1" applyBorder="1" applyAlignment="1">
      <alignment horizontal="center"/>
    </xf>
    <xf numFmtId="0" fontId="5" fillId="0" borderId="11" xfId="0" applyFont="1" applyBorder="1" applyAlignment="1">
      <alignment horizontal="center"/>
    </xf>
    <xf numFmtId="0" fontId="5" fillId="0" borderId="12" xfId="0" applyFont="1" applyFill="1" applyBorder="1" applyAlignment="1">
      <alignment horizontal="center"/>
    </xf>
    <xf numFmtId="0" fontId="5" fillId="0" borderId="11" xfId="0" applyFont="1" applyFill="1" applyBorder="1" applyAlignment="1">
      <alignment horizontal="center"/>
    </xf>
    <xf numFmtId="2" fontId="0" fillId="0" borderId="1" xfId="0" applyNumberFormat="1" applyBorder="1" applyAlignment="1" applyProtection="1">
      <alignment horizontal="center"/>
    </xf>
    <xf numFmtId="0" fontId="5" fillId="0" borderId="1" xfId="0" applyFont="1" applyBorder="1" applyAlignment="1" applyProtection="1">
      <alignment horizontal="center"/>
    </xf>
    <xf numFmtId="0" fontId="6" fillId="0" borderId="0" xfId="0" applyFont="1" applyFill="1" applyBorder="1" applyAlignment="1" applyProtection="1">
      <alignment horizontal="center"/>
    </xf>
    <xf numFmtId="0" fontId="0" fillId="0" borderId="0" xfId="0" applyFill="1" applyBorder="1" applyAlignment="1" applyProtection="1">
      <alignment horizontal="center"/>
    </xf>
    <xf numFmtId="0" fontId="5" fillId="0" borderId="0" xfId="0" applyFont="1" applyAlignment="1">
      <alignment horizontal="left"/>
    </xf>
    <xf numFmtId="0" fontId="0" fillId="0" borderId="0" xfId="0" applyAlignment="1"/>
    <xf numFmtId="0" fontId="0" fillId="0" borderId="4" xfId="0" applyBorder="1" applyAlignment="1"/>
    <xf numFmtId="165" fontId="4"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165" fontId="4" fillId="0" borderId="26" xfId="0" applyNumberFormat="1" applyFont="1" applyBorder="1" applyAlignment="1">
      <alignment horizontal="center" vertical="center"/>
    </xf>
    <xf numFmtId="165" fontId="4" fillId="0" borderId="27" xfId="0" applyNumberFormat="1" applyFont="1" applyBorder="1" applyAlignment="1">
      <alignment horizontal="center" vertical="center"/>
    </xf>
    <xf numFmtId="165" fontId="4" fillId="0" borderId="28" xfId="0" applyNumberFormat="1" applyFont="1" applyBorder="1" applyAlignment="1">
      <alignment horizontal="center" vertical="center"/>
    </xf>
    <xf numFmtId="165" fontId="0" fillId="0" borderId="29" xfId="0" applyNumberFormat="1" applyBorder="1" applyAlignment="1">
      <alignment horizontal="center" vertical="center"/>
    </xf>
    <xf numFmtId="165" fontId="0" fillId="0" borderId="30"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5" fontId="0" fillId="0" borderId="33" xfId="0" applyNumberFormat="1" applyBorder="1" applyAlignment="1">
      <alignment horizontal="center" vertical="center"/>
    </xf>
    <xf numFmtId="165" fontId="4" fillId="0" borderId="24" xfId="0" applyNumberFormat="1" applyFont="1" applyBorder="1" applyAlignment="1">
      <alignment horizontal="center" vertical="center"/>
    </xf>
    <xf numFmtId="0" fontId="6" fillId="0" borderId="0" xfId="0" applyFont="1" applyFill="1" applyBorder="1" applyAlignment="1">
      <alignment horizontal="center"/>
    </xf>
    <xf numFmtId="165"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165" fontId="4" fillId="0" borderId="0" xfId="0" applyNumberFormat="1" applyFont="1" applyAlignment="1">
      <alignment horizontal="center"/>
    </xf>
    <xf numFmtId="1" fontId="4" fillId="0" borderId="0" xfId="0" applyNumberFormat="1" applyFont="1" applyAlignment="1">
      <alignment horizontal="center"/>
    </xf>
    <xf numFmtId="2" fontId="4" fillId="0" borderId="0" xfId="0" applyNumberFormat="1" applyFont="1" applyFill="1" applyBorder="1" applyAlignment="1">
      <alignment horizontal="center"/>
    </xf>
    <xf numFmtId="165" fontId="4" fillId="0" borderId="0" xfId="0" applyNumberFormat="1" applyFont="1" applyBorder="1" applyAlignment="1">
      <alignment horizontal="center" vertical="center"/>
    </xf>
    <xf numFmtId="165" fontId="4" fillId="0" borderId="34" xfId="0" applyNumberFormat="1" applyFont="1" applyBorder="1" applyAlignment="1">
      <alignment horizontal="center" vertical="center"/>
    </xf>
    <xf numFmtId="165" fontId="0" fillId="0" borderId="3" xfId="0" applyNumberFormat="1" applyBorder="1" applyAlignment="1">
      <alignment horizontal="center" vertical="center"/>
    </xf>
    <xf numFmtId="165" fontId="0" fillId="0" borderId="35" xfId="0" applyNumberFormat="1" applyBorder="1" applyAlignment="1">
      <alignment horizontal="center" vertical="center"/>
    </xf>
    <xf numFmtId="0" fontId="0" fillId="0" borderId="36" xfId="0" applyBorder="1"/>
    <xf numFmtId="0" fontId="14" fillId="0" borderId="37" xfId="0" applyFont="1" applyBorder="1" applyAlignment="1">
      <alignment horizontal="center"/>
    </xf>
    <xf numFmtId="0" fontId="0" fillId="0" borderId="36" xfId="0" applyBorder="1" applyAlignment="1">
      <alignment horizontal="center"/>
    </xf>
    <xf numFmtId="0" fontId="0" fillId="0" borderId="38" xfId="0" applyBorder="1" applyAlignment="1">
      <alignment horizontal="center"/>
    </xf>
    <xf numFmtId="0" fontId="0" fillId="0" borderId="37" xfId="0" applyBorder="1" applyAlignment="1">
      <alignment horizontal="center"/>
    </xf>
    <xf numFmtId="0" fontId="14" fillId="0" borderId="16" xfId="0" applyFont="1" applyBorder="1" applyAlignment="1">
      <alignment horizontal="center"/>
    </xf>
    <xf numFmtId="165" fontId="4" fillId="0" borderId="25" xfId="0" applyNumberFormat="1" applyFont="1" applyBorder="1" applyAlignment="1">
      <alignment horizontal="center" vertical="center"/>
    </xf>
    <xf numFmtId="165" fontId="4" fillId="0" borderId="39" xfId="0" applyNumberFormat="1" applyFont="1" applyBorder="1" applyAlignment="1">
      <alignment horizontal="center" vertical="center"/>
    </xf>
    <xf numFmtId="165" fontId="4" fillId="0" borderId="2" xfId="0" applyNumberFormat="1" applyFont="1" applyBorder="1" applyAlignment="1">
      <alignment horizontal="center" vertical="center"/>
    </xf>
    <xf numFmtId="165" fontId="4" fillId="0" borderId="16" xfId="0" applyNumberFormat="1" applyFont="1" applyFill="1" applyBorder="1" applyAlignment="1">
      <alignment horizontal="center" vertical="center"/>
    </xf>
    <xf numFmtId="1" fontId="4" fillId="0" borderId="36" xfId="0" applyNumberFormat="1" applyFont="1" applyFill="1" applyBorder="1" applyAlignment="1">
      <alignment horizontal="center" vertical="center"/>
    </xf>
    <xf numFmtId="1" fontId="4" fillId="0" borderId="37" xfId="0" applyNumberFormat="1" applyFont="1" applyFill="1" applyBorder="1" applyAlignment="1">
      <alignment horizontal="center" vertical="center"/>
    </xf>
    <xf numFmtId="165" fontId="0" fillId="0" borderId="0" xfId="0" applyNumberFormat="1" applyBorder="1" applyAlignment="1">
      <alignment horizontal="center" vertical="center"/>
    </xf>
    <xf numFmtId="0" fontId="1" fillId="3" borderId="41" xfId="2" applyFont="1" applyFill="1" applyBorder="1" applyAlignment="1" applyProtection="1">
      <alignment horizontal="center"/>
      <protection locked="0"/>
    </xf>
    <xf numFmtId="0" fontId="1" fillId="3" borderId="30" xfId="2" applyFont="1" applyFill="1" applyBorder="1" applyAlignment="1" applyProtection="1">
      <alignment horizontal="center"/>
      <protection locked="0"/>
    </xf>
    <xf numFmtId="0" fontId="3" fillId="3" borderId="31" xfId="2" applyFill="1" applyBorder="1" applyAlignment="1" applyProtection="1">
      <alignment horizontal="center"/>
      <protection locked="0"/>
    </xf>
    <xf numFmtId="0" fontId="3" fillId="3" borderId="32" xfId="2" applyFill="1" applyBorder="1" applyAlignment="1" applyProtection="1">
      <alignment horizontal="center"/>
      <protection locked="0"/>
    </xf>
    <xf numFmtId="0" fontId="3" fillId="3" borderId="35" xfId="2" applyFill="1" applyBorder="1" applyAlignment="1" applyProtection="1">
      <alignment horizontal="center"/>
      <protection locked="0"/>
    </xf>
    <xf numFmtId="3" fontId="3" fillId="3" borderId="32" xfId="2" applyNumberFormat="1" applyFill="1" applyBorder="1" applyAlignment="1" applyProtection="1">
      <alignment horizontal="center"/>
      <protection locked="0"/>
    </xf>
    <xf numFmtId="0" fontId="0" fillId="0" borderId="0" xfId="0" applyAlignment="1">
      <alignment wrapText="1"/>
    </xf>
    <xf numFmtId="0" fontId="10" fillId="0" borderId="0" xfId="0" applyFont="1"/>
    <xf numFmtId="0" fontId="9" fillId="0" borderId="0" xfId="0" applyFont="1"/>
    <xf numFmtId="14" fontId="1" fillId="3" borderId="28" xfId="2" applyNumberFormat="1" applyFont="1" applyFill="1" applyBorder="1" applyAlignment="1" applyProtection="1">
      <alignment horizontal="center"/>
      <protection locked="0"/>
    </xf>
    <xf numFmtId="0" fontId="1" fillId="3" borderId="33" xfId="2" applyFont="1" applyFill="1" applyBorder="1" applyAlignment="1" applyProtection="1">
      <alignment horizontal="center"/>
      <protection locked="0"/>
    </xf>
    <xf numFmtId="167" fontId="4" fillId="0" borderId="0" xfId="0" applyNumberFormat="1" applyFont="1" applyFill="1" applyBorder="1" applyAlignment="1" applyProtection="1">
      <alignment horizontal="center"/>
      <protection locked="0"/>
    </xf>
    <xf numFmtId="165" fontId="4" fillId="0" borderId="0" xfId="0" applyNumberFormat="1" applyFont="1" applyFill="1" applyBorder="1" applyAlignment="1" applyProtection="1">
      <alignment horizontal="center"/>
    </xf>
    <xf numFmtId="2" fontId="4" fillId="0" borderId="0" xfId="0" applyNumberFormat="1" applyFont="1" applyFill="1" applyBorder="1" applyAlignment="1" applyProtection="1">
      <alignment horizontal="center"/>
    </xf>
    <xf numFmtId="0" fontId="5" fillId="0" borderId="0" xfId="0" applyFont="1" applyAlignment="1" applyProtection="1">
      <alignment horizontal="center" vertical="center"/>
    </xf>
    <xf numFmtId="0" fontId="5" fillId="0" borderId="0" xfId="0" applyFont="1" applyFill="1" applyBorder="1" applyAlignment="1" applyProtection="1">
      <alignment horizontal="center" vertical="center"/>
    </xf>
    <xf numFmtId="0" fontId="9" fillId="0" borderId="0" xfId="0" applyFont="1" applyFill="1"/>
    <xf numFmtId="2"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15" fillId="0" borderId="0" xfId="2" applyFont="1" applyProtection="1"/>
    <xf numFmtId="0" fontId="3" fillId="0" borderId="0" xfId="2" applyProtection="1"/>
    <xf numFmtId="0" fontId="3" fillId="0" borderId="26" xfId="2" applyBorder="1" applyAlignment="1" applyProtection="1">
      <alignment horizontal="center"/>
    </xf>
    <xf numFmtId="0" fontId="3" fillId="0" borderId="40" xfId="2" applyBorder="1" applyAlignment="1" applyProtection="1">
      <alignment horizontal="center"/>
    </xf>
    <xf numFmtId="0" fontId="3" fillId="0" borderId="29" xfId="2" applyBorder="1" applyAlignment="1" applyProtection="1">
      <alignment horizontal="center"/>
    </xf>
    <xf numFmtId="0" fontId="3" fillId="0" borderId="31" xfId="2" applyBorder="1" applyAlignment="1" applyProtection="1">
      <alignment horizontal="center"/>
    </xf>
    <xf numFmtId="0" fontId="15" fillId="0" borderId="0" xfId="2" applyFont="1" applyAlignment="1" applyProtection="1">
      <alignment horizontal="center"/>
    </xf>
    <xf numFmtId="0" fontId="1" fillId="0" borderId="26" xfId="2" applyFont="1" applyBorder="1" applyAlignment="1" applyProtection="1">
      <alignment horizontal="center" wrapText="1"/>
    </xf>
    <xf numFmtId="0" fontId="3" fillId="0" borderId="27" xfId="2" applyBorder="1" applyAlignment="1" applyProtection="1">
      <alignment horizontal="center"/>
    </xf>
    <xf numFmtId="0" fontId="1" fillId="0" borderId="27" xfId="2" applyFont="1" applyBorder="1" applyAlignment="1" applyProtection="1">
      <alignment horizontal="center" wrapText="1"/>
    </xf>
    <xf numFmtId="0" fontId="3" fillId="0" borderId="27" xfId="2" applyBorder="1" applyAlignment="1" applyProtection="1">
      <alignment horizontal="center" wrapText="1"/>
    </xf>
    <xf numFmtId="0" fontId="3" fillId="0" borderId="28" xfId="2" applyBorder="1" applyAlignment="1" applyProtection="1">
      <alignment horizontal="center"/>
    </xf>
    <xf numFmtId="0" fontId="3" fillId="0" borderId="0" xfId="2" applyAlignment="1" applyProtection="1">
      <alignment horizontal="center" wrapText="1"/>
    </xf>
    <xf numFmtId="0" fontId="3" fillId="3" borderId="31" xfId="2" applyFill="1" applyBorder="1" applyAlignment="1" applyProtection="1">
      <alignment horizontal="center"/>
    </xf>
    <xf numFmtId="0" fontId="1" fillId="0" borderId="32" xfId="2" applyFont="1" applyFill="1" applyBorder="1" applyAlignment="1" applyProtection="1">
      <alignment horizontal="center"/>
    </xf>
    <xf numFmtId="3" fontId="3" fillId="4" borderId="32" xfId="2" applyNumberFormat="1" applyFill="1" applyBorder="1" applyAlignment="1" applyProtection="1">
      <alignment horizontal="center"/>
    </xf>
    <xf numFmtId="0" fontId="3" fillId="0" borderId="33" xfId="2" applyBorder="1" applyAlignment="1" applyProtection="1">
      <alignment horizontal="center"/>
    </xf>
    <xf numFmtId="0" fontId="3" fillId="0" borderId="0" xfId="2" applyAlignment="1" applyProtection="1">
      <alignment horizontal="center"/>
    </xf>
    <xf numFmtId="0" fontId="3" fillId="0" borderId="32" xfId="2" applyBorder="1" applyAlignment="1" applyProtection="1">
      <alignment horizontal="center"/>
    </xf>
    <xf numFmtId="0" fontId="3" fillId="0" borderId="26" xfId="2" applyBorder="1" applyAlignment="1" applyProtection="1">
      <alignment horizontal="center" wrapText="1"/>
    </xf>
    <xf numFmtId="0" fontId="3" fillId="0" borderId="39" xfId="2" applyBorder="1" applyAlignment="1" applyProtection="1">
      <alignment horizontal="center" wrapText="1"/>
    </xf>
    <xf numFmtId="0" fontId="3" fillId="0" borderId="42" xfId="2" applyBorder="1" applyAlignment="1" applyProtection="1">
      <alignment horizontal="center"/>
    </xf>
    <xf numFmtId="165" fontId="3" fillId="0" borderId="27" xfId="2" applyNumberFormat="1" applyBorder="1" applyAlignment="1" applyProtection="1">
      <alignment horizontal="center"/>
    </xf>
    <xf numFmtId="165" fontId="3" fillId="0" borderId="1" xfId="2" applyNumberFormat="1" applyBorder="1" applyAlignment="1" applyProtection="1">
      <alignment horizontal="center"/>
    </xf>
    <xf numFmtId="0" fontId="3" fillId="0" borderId="1" xfId="2" applyBorder="1" applyAlignment="1" applyProtection="1">
      <alignment horizontal="center"/>
    </xf>
    <xf numFmtId="165" fontId="3" fillId="0" borderId="32" xfId="2" applyNumberFormat="1" applyBorder="1" applyAlignment="1" applyProtection="1">
      <alignment horizontal="center"/>
    </xf>
    <xf numFmtId="0" fontId="1" fillId="0" borderId="32" xfId="2" applyFont="1" applyBorder="1" applyAlignment="1" applyProtection="1">
      <alignment horizontal="center"/>
    </xf>
    <xf numFmtId="165" fontId="3" fillId="0" borderId="0" xfId="2" applyNumberFormat="1" applyProtection="1"/>
    <xf numFmtId="165" fontId="3" fillId="0" borderId="0" xfId="2" applyNumberFormat="1" applyFill="1" applyBorder="1" applyAlignment="1" applyProtection="1">
      <alignment horizontal="center"/>
    </xf>
    <xf numFmtId="166" fontId="3" fillId="0" borderId="0" xfId="2" applyNumberFormat="1" applyFill="1" applyBorder="1" applyAlignment="1" applyProtection="1">
      <alignment horizontal="center"/>
    </xf>
    <xf numFmtId="0" fontId="1" fillId="0" borderId="0" xfId="2" applyFont="1" applyProtection="1"/>
    <xf numFmtId="165" fontId="3" fillId="0" borderId="0" xfId="2" applyNumberFormat="1" applyAlignment="1" applyProtection="1">
      <alignment horizontal="center"/>
    </xf>
    <xf numFmtId="168" fontId="0" fillId="0" borderId="0" xfId="0" applyNumberFormat="1" applyAlignment="1" applyProtection="1">
      <alignment horizontal="center"/>
    </xf>
    <xf numFmtId="0" fontId="0" fillId="0" borderId="0" xfId="0" applyAlignment="1"/>
    <xf numFmtId="0" fontId="0" fillId="0" borderId="4" xfId="0" applyBorder="1" applyAlignment="1"/>
    <xf numFmtId="165" fontId="0" fillId="0" borderId="0" xfId="0" applyNumberFormat="1" applyFill="1" applyBorder="1" applyAlignment="1" applyProtection="1">
      <alignment horizontal="center" vertical="center"/>
    </xf>
    <xf numFmtId="165" fontId="4" fillId="0" borderId="0" xfId="0" quotePrefix="1" applyNumberFormat="1" applyFont="1" applyFill="1" applyBorder="1" applyAlignment="1" applyProtection="1">
      <alignment horizontal="center" vertical="center"/>
    </xf>
    <xf numFmtId="165" fontId="4" fillId="0" borderId="0" xfId="0" applyNumberFormat="1" applyFont="1" applyFill="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Protection="1"/>
    <xf numFmtId="0" fontId="0" fillId="0" borderId="0" xfId="0" applyProtection="1"/>
    <xf numFmtId="0" fontId="0" fillId="0" borderId="0" xfId="0" applyAlignment="1"/>
    <xf numFmtId="0" fontId="0" fillId="0" borderId="5" xfId="0" applyBorder="1" applyAlignment="1"/>
    <xf numFmtId="0" fontId="0" fillId="2" borderId="1" xfId="0" applyFill="1" applyBorder="1" applyAlignment="1" applyProtection="1">
      <alignment horizontal="center"/>
      <protection locked="0"/>
    </xf>
    <xf numFmtId="0" fontId="4" fillId="0" borderId="0" xfId="0" applyFont="1" applyAlignment="1"/>
    <xf numFmtId="0" fontId="5" fillId="3" borderId="1"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6" fillId="0" borderId="0" xfId="0" applyFont="1" applyFill="1" applyBorder="1" applyAlignment="1" applyProtection="1">
      <alignment horizontal="center"/>
    </xf>
    <xf numFmtId="0" fontId="0" fillId="0" borderId="0" xfId="0" applyFill="1" applyBorder="1" applyAlignment="1" applyProtection="1">
      <alignment horizontal="center"/>
    </xf>
    <xf numFmtId="2" fontId="0" fillId="0" borderId="0" xfId="0" applyNumberFormat="1" applyFill="1" applyBorder="1" applyAlignment="1" applyProtection="1">
      <alignment horizontal="center"/>
      <protection locked="0"/>
    </xf>
    <xf numFmtId="0" fontId="0" fillId="0" borderId="0" xfId="0" applyFill="1" applyBorder="1" applyAlignment="1" applyProtection="1"/>
    <xf numFmtId="167" fontId="0" fillId="0" borderId="0" xfId="0" applyNumberFormat="1" applyFill="1" applyBorder="1" applyAlignment="1" applyProtection="1">
      <alignment horizontal="center"/>
      <protection locked="0"/>
    </xf>
    <xf numFmtId="0" fontId="4" fillId="0" borderId="0" xfId="0" applyFont="1" applyBorder="1"/>
    <xf numFmtId="0" fontId="4" fillId="0" borderId="1" xfId="0" applyFont="1" applyBorder="1"/>
    <xf numFmtId="165" fontId="4" fillId="0" borderId="0" xfId="0" applyNumberFormat="1" applyFont="1" applyBorder="1" applyAlignment="1" applyProtection="1">
      <alignment horizontal="center"/>
    </xf>
    <xf numFmtId="0" fontId="0" fillId="0" borderId="0" xfId="0" applyFont="1" applyProtection="1"/>
    <xf numFmtId="165" fontId="4" fillId="0" borderId="0" xfId="0" applyNumberFormat="1" applyFont="1" applyAlignment="1" applyProtection="1">
      <alignment horizontal="center" vertical="center"/>
    </xf>
    <xf numFmtId="0" fontId="5" fillId="0" borderId="24" xfId="0" applyFont="1" applyFill="1" applyBorder="1" applyProtection="1"/>
    <xf numFmtId="0" fontId="5" fillId="0" borderId="25" xfId="0" applyFont="1" applyFill="1" applyBorder="1" applyProtection="1"/>
    <xf numFmtId="0" fontId="4" fillId="0" borderId="0" xfId="0" applyFont="1" applyAlignment="1" applyProtection="1">
      <alignment horizontal="center"/>
    </xf>
    <xf numFmtId="165" fontId="4" fillId="0" borderId="25" xfId="0" applyNumberFormat="1" applyFont="1" applyFill="1" applyBorder="1" applyAlignment="1" applyProtection="1">
      <alignment horizontal="center"/>
    </xf>
    <xf numFmtId="0" fontId="4" fillId="0" borderId="24" xfId="0" applyFont="1" applyFill="1" applyBorder="1" applyProtection="1"/>
    <xf numFmtId="0" fontId="4" fillId="0" borderId="25" xfId="0" applyFont="1" applyFill="1" applyBorder="1" applyProtection="1"/>
    <xf numFmtId="0" fontId="20" fillId="0" borderId="0" xfId="0" applyFont="1" applyAlignment="1">
      <alignment vertical="center" wrapText="1"/>
    </xf>
    <xf numFmtId="0" fontId="10" fillId="0" borderId="0" xfId="0" applyFont="1" applyAlignment="1">
      <alignment vertical="center" wrapText="1"/>
    </xf>
    <xf numFmtId="0" fontId="26" fillId="0" borderId="0" xfId="4" applyAlignment="1">
      <alignment vertical="center" wrapText="1"/>
    </xf>
    <xf numFmtId="0" fontId="10" fillId="0" borderId="0" xfId="0" applyFont="1" applyAlignment="1">
      <alignment horizontal="left" vertical="center" wrapText="1"/>
    </xf>
    <xf numFmtId="0" fontId="22" fillId="0" borderId="0" xfId="0" applyFont="1" applyAlignment="1">
      <alignment horizontal="left" vertical="center" wrapText="1"/>
    </xf>
    <xf numFmtId="0" fontId="21" fillId="0" borderId="0" xfId="0" applyFont="1" applyAlignment="1">
      <alignment horizontal="left" vertical="center" wrapText="1"/>
    </xf>
    <xf numFmtId="0" fontId="23" fillId="0" borderId="0" xfId="0" applyFont="1" applyAlignment="1">
      <alignment vertical="center" wrapText="1"/>
    </xf>
    <xf numFmtId="0" fontId="24" fillId="0" borderId="0" xfId="0" applyFont="1" applyAlignment="1">
      <alignment vertical="center" wrapText="1"/>
    </xf>
    <xf numFmtId="0" fontId="16" fillId="0" borderId="24" xfId="2" applyFont="1" applyBorder="1" applyAlignment="1" applyProtection="1">
      <alignment wrapText="1"/>
    </xf>
    <xf numFmtId="0" fontId="0" fillId="0" borderId="25" xfId="0" applyBorder="1" applyAlignment="1" applyProtection="1">
      <alignment wrapText="1"/>
    </xf>
    <xf numFmtId="0" fontId="0" fillId="0" borderId="17" xfId="0" applyBorder="1" applyProtection="1"/>
    <xf numFmtId="0" fontId="17" fillId="0" borderId="24" xfId="2" applyFont="1" applyBorder="1" applyAlignment="1" applyProtection="1">
      <alignment wrapText="1"/>
    </xf>
    <xf numFmtId="0" fontId="18" fillId="0" borderId="25" xfId="0" applyFont="1" applyBorder="1" applyAlignment="1" applyProtection="1">
      <alignment wrapText="1"/>
    </xf>
    <xf numFmtId="0" fontId="18" fillId="0" borderId="17" xfId="0" applyFont="1" applyBorder="1" applyAlignment="1" applyProtection="1">
      <alignment wrapText="1"/>
    </xf>
    <xf numFmtId="0" fontId="1" fillId="0" borderId="27" xfId="2" applyFont="1" applyBorder="1" applyAlignment="1" applyProtection="1">
      <alignment horizontal="center" wrapText="1"/>
    </xf>
    <xf numFmtId="0" fontId="0" fillId="0" borderId="28" xfId="0" applyBorder="1" applyAlignment="1" applyProtection="1">
      <alignment horizontal="center" wrapText="1"/>
    </xf>
    <xf numFmtId="165" fontId="3" fillId="4" borderId="32" xfId="2" applyNumberFormat="1" applyFill="1" applyBorder="1" applyAlignment="1" applyProtection="1">
      <alignment horizontal="center"/>
    </xf>
    <xf numFmtId="0" fontId="0" fillId="0" borderId="33" xfId="0" applyBorder="1" applyProtection="1"/>
    <xf numFmtId="0" fontId="1" fillId="0" borderId="0" xfId="2" applyFont="1" applyProtection="1"/>
    <xf numFmtId="0" fontId="4" fillId="0" borderId="0" xfId="0" applyFont="1" applyProtection="1"/>
    <xf numFmtId="0" fontId="4" fillId="0" borderId="5" xfId="0" applyFont="1" applyBorder="1" applyProtection="1"/>
    <xf numFmtId="0" fontId="3" fillId="0" borderId="43" xfId="2" applyBorder="1" applyAlignment="1" applyProtection="1">
      <alignment horizontal="center" wrapText="1"/>
    </xf>
    <xf numFmtId="0" fontId="0" fillId="0" borderId="4" xfId="0" applyBorder="1" applyAlignment="1" applyProtection="1">
      <alignment horizontal="center" wrapText="1"/>
    </xf>
    <xf numFmtId="0" fontId="1" fillId="0" borderId="0" xfId="2" applyFont="1" applyAlignment="1" applyProtection="1">
      <alignment wrapText="1"/>
    </xf>
    <xf numFmtId="0" fontId="10" fillId="0" borderId="0" xfId="0" applyFont="1" applyAlignment="1" applyProtection="1">
      <alignment wrapText="1"/>
    </xf>
    <xf numFmtId="0" fontId="10" fillId="0" borderId="0" xfId="0" applyFont="1" applyProtection="1"/>
    <xf numFmtId="0" fontId="9" fillId="0" borderId="0" xfId="0" applyFont="1" applyAlignment="1" applyProtection="1">
      <alignment wrapText="1"/>
    </xf>
    <xf numFmtId="0" fontId="9" fillId="0" borderId="0" xfId="0" applyFont="1" applyProtection="1"/>
    <xf numFmtId="0" fontId="0" fillId="0" borderId="0" xfId="0" applyProtection="1"/>
    <xf numFmtId="0" fontId="0" fillId="0" borderId="5" xfId="0" applyBorder="1" applyProtection="1"/>
    <xf numFmtId="0" fontId="3" fillId="0" borderId="0" xfId="2" applyAlignment="1" applyProtection="1">
      <alignment wrapText="1"/>
    </xf>
    <xf numFmtId="0" fontId="0" fillId="0" borderId="0" xfId="0" applyAlignment="1" applyProtection="1">
      <alignment wrapText="1"/>
    </xf>
    <xf numFmtId="0" fontId="4" fillId="0" borderId="0" xfId="0" applyFont="1" applyAlignment="1" applyProtection="1">
      <alignment wrapText="1"/>
    </xf>
    <xf numFmtId="165" fontId="4" fillId="0" borderId="20" xfId="0" applyNumberFormat="1" applyFont="1" applyBorder="1" applyAlignment="1">
      <alignment horizontal="center"/>
    </xf>
    <xf numFmtId="165" fontId="4" fillId="0" borderId="21" xfId="0" applyNumberFormat="1" applyFont="1" applyBorder="1" applyAlignment="1">
      <alignment horizontal="center"/>
    </xf>
    <xf numFmtId="165" fontId="4" fillId="0" borderId="10" xfId="0" applyNumberFormat="1" applyFont="1" applyBorder="1" applyAlignment="1">
      <alignment horizontal="center"/>
    </xf>
    <xf numFmtId="0" fontId="6" fillId="0" borderId="2" xfId="0" applyFont="1" applyBorder="1" applyAlignment="1">
      <alignment horizontal="center"/>
    </xf>
    <xf numFmtId="0" fontId="0" fillId="0" borderId="3" xfId="0" applyBorder="1" applyAlignment="1">
      <alignment horizontal="center"/>
    </xf>
    <xf numFmtId="0" fontId="0" fillId="2" borderId="2" xfId="1" applyNumberFormat="1" applyFont="1" applyFill="1" applyBorder="1" applyAlignment="1" applyProtection="1">
      <alignment horizontal="center"/>
      <protection locked="0"/>
    </xf>
    <xf numFmtId="0" fontId="0" fillId="0" borderId="3" xfId="0" applyBorder="1" applyAlignment="1" applyProtection="1">
      <alignment horizontal="center"/>
      <protection locked="0"/>
    </xf>
    <xf numFmtId="0" fontId="5" fillId="3" borderId="1" xfId="0" applyFont="1"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0" borderId="2" xfId="0" applyBorder="1" applyAlignment="1">
      <alignment horizontal="center"/>
    </xf>
    <xf numFmtId="14" fontId="0" fillId="2" borderId="2" xfId="0" applyNumberFormat="1" applyFill="1" applyBorder="1" applyAlignment="1" applyProtection="1">
      <alignment horizontal="center"/>
      <protection locked="0"/>
    </xf>
    <xf numFmtId="14" fontId="0" fillId="0" borderId="3" xfId="0" applyNumberFormat="1" applyBorder="1" applyAlignment="1" applyProtection="1">
      <alignment horizontal="center"/>
      <protection locked="0"/>
    </xf>
    <xf numFmtId="0" fontId="0" fillId="0" borderId="0" xfId="0" applyAlignment="1"/>
    <xf numFmtId="0" fontId="0" fillId="0" borderId="5" xfId="0" applyBorder="1" applyAlignment="1"/>
    <xf numFmtId="0" fontId="4" fillId="0" borderId="0" xfId="0" applyFont="1" applyAlignment="1"/>
    <xf numFmtId="9" fontId="0" fillId="2" borderId="2" xfId="1" applyFont="1" applyFill="1" applyBorder="1" applyAlignment="1" applyProtection="1">
      <alignment horizontal="center"/>
      <protection locked="0"/>
    </xf>
    <xf numFmtId="9" fontId="0" fillId="0" borderId="3" xfId="1" applyFont="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0" fillId="0" borderId="1" xfId="0" applyBorder="1" applyAlignment="1" applyProtection="1">
      <alignment horizontal="center"/>
      <protection locked="0"/>
    </xf>
    <xf numFmtId="2" fontId="5" fillId="0" borderId="0" xfId="0" applyNumberFormat="1" applyFont="1" applyFill="1" applyBorder="1" applyAlignment="1">
      <alignment horizontal="center"/>
    </xf>
    <xf numFmtId="2" fontId="0" fillId="0" borderId="0" xfId="0" applyNumberFormat="1" applyBorder="1" applyAlignment="1">
      <alignment horizontal="center"/>
    </xf>
    <xf numFmtId="0" fontId="6" fillId="2" borderId="2" xfId="0" applyFont="1" applyFill="1" applyBorder="1" applyAlignment="1" applyProtection="1">
      <alignment horizontal="center"/>
      <protection locked="0"/>
    </xf>
    <xf numFmtId="0" fontId="6" fillId="3" borderId="1"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1" fontId="5" fillId="0" borderId="1" xfId="0" applyNumberFormat="1" applyFont="1" applyFill="1" applyBorder="1" applyAlignment="1">
      <alignment horizontal="center"/>
    </xf>
    <xf numFmtId="1" fontId="5" fillId="0" borderId="3" xfId="0" applyNumberFormat="1" applyFont="1" applyFill="1" applyBorder="1" applyAlignment="1">
      <alignment horizontal="center"/>
    </xf>
    <xf numFmtId="0" fontId="0" fillId="2" borderId="2" xfId="0"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1" fontId="5" fillId="0" borderId="1" xfId="0" quotePrefix="1" applyNumberFormat="1" applyFont="1" applyFill="1" applyBorder="1" applyAlignment="1">
      <alignment horizontal="center"/>
    </xf>
    <xf numFmtId="0" fontId="4" fillId="0" borderId="1" xfId="0" applyFont="1" applyBorder="1" applyAlignment="1" applyProtection="1"/>
    <xf numFmtId="0" fontId="0" fillId="0" borderId="1" xfId="0" applyBorder="1" applyAlignment="1" applyProtection="1"/>
    <xf numFmtId="0" fontId="0" fillId="2" borderId="1" xfId="1" applyNumberFormat="1" applyFont="1" applyFill="1" applyBorder="1" applyAlignment="1" applyProtection="1">
      <alignment horizontal="center"/>
      <protection locked="0"/>
    </xf>
    <xf numFmtId="14" fontId="4" fillId="2" borderId="1" xfId="0" applyNumberFormat="1" applyFont="1" applyFill="1" applyBorder="1" applyAlignment="1" applyProtection="1">
      <alignment horizontal="center"/>
      <protection locked="0"/>
    </xf>
    <xf numFmtId="0" fontId="4" fillId="0" borderId="2" xfId="0" applyFont="1" applyBorder="1" applyAlignment="1" applyProtection="1">
      <alignment horizontal="center"/>
    </xf>
    <xf numFmtId="0" fontId="0" fillId="0" borderId="15" xfId="0" applyBorder="1" applyAlignment="1" applyProtection="1">
      <alignment horizontal="center"/>
    </xf>
    <xf numFmtId="0" fontId="0" fillId="0" borderId="3" xfId="0" applyBorder="1" applyAlignment="1" applyProtection="1">
      <alignment horizontal="center"/>
    </xf>
    <xf numFmtId="0" fontId="5" fillId="2" borderId="1"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4" fillId="3" borderId="1" xfId="0" applyFont="1" applyFill="1" applyBorder="1" applyAlignment="1" applyProtection="1">
      <alignment horizontal="center"/>
      <protection locked="0"/>
    </xf>
    <xf numFmtId="0" fontId="6" fillId="0" borderId="0" xfId="0" applyFont="1" applyFill="1" applyBorder="1" applyAlignment="1" applyProtection="1">
      <alignment horizontal="center"/>
    </xf>
    <xf numFmtId="0" fontId="0" fillId="0" borderId="0" xfId="0" applyFill="1" applyBorder="1" applyAlignment="1" applyProtection="1">
      <alignment horizontal="center"/>
    </xf>
    <xf numFmtId="0" fontId="6" fillId="0" borderId="0" xfId="0" applyFont="1" applyFill="1" applyBorder="1" applyAlignment="1" applyProtection="1">
      <alignment horizontal="center"/>
      <protection locked="0"/>
    </xf>
    <xf numFmtId="14" fontId="0" fillId="0" borderId="0"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167" fontId="0" fillId="3" borderId="1" xfId="0" applyNumberFormat="1" applyFill="1" applyBorder="1" applyAlignment="1" applyProtection="1">
      <alignment horizontal="center"/>
      <protection locked="0"/>
    </xf>
    <xf numFmtId="0" fontId="4" fillId="0" borderId="0" xfId="0" applyFont="1" applyFill="1" applyBorder="1" applyAlignment="1" applyProtection="1"/>
    <xf numFmtId="0" fontId="0" fillId="0" borderId="0" xfId="0" applyFill="1" applyBorder="1" applyAlignment="1" applyProtection="1"/>
    <xf numFmtId="167" fontId="0" fillId="0" borderId="0" xfId="0" applyNumberFormat="1" applyFill="1" applyBorder="1" applyAlignment="1" applyProtection="1">
      <alignment horizontal="center"/>
      <protection locked="0"/>
    </xf>
    <xf numFmtId="2" fontId="0" fillId="3" borderId="1" xfId="0" applyNumberFormat="1" applyFill="1" applyBorder="1" applyAlignment="1" applyProtection="1">
      <alignment horizontal="center"/>
      <protection locked="0"/>
    </xf>
    <xf numFmtId="0" fontId="0" fillId="0" borderId="0" xfId="1" applyNumberFormat="1" applyFont="1" applyFill="1" applyBorder="1" applyAlignment="1" applyProtection="1">
      <alignment horizontal="center"/>
      <protection locked="0"/>
    </xf>
    <xf numFmtId="0" fontId="5" fillId="0" borderId="12" xfId="0" applyFont="1" applyBorder="1" applyAlignment="1">
      <alignment horizontal="center"/>
    </xf>
    <xf numFmtId="0" fontId="5" fillId="0" borderId="11" xfId="0" applyFont="1" applyBorder="1" applyAlignment="1">
      <alignment horizontal="center"/>
    </xf>
    <xf numFmtId="0" fontId="5" fillId="0" borderId="12" xfId="0" applyFont="1" applyFill="1" applyBorder="1" applyAlignment="1">
      <alignment horizontal="center"/>
    </xf>
    <xf numFmtId="0" fontId="0" fillId="0" borderId="11" xfId="0" applyBorder="1" applyAlignment="1">
      <alignment horizontal="center"/>
    </xf>
    <xf numFmtId="0" fontId="5" fillId="0" borderId="0" xfId="0" applyFont="1" applyFill="1" applyBorder="1" applyAlignment="1">
      <alignment horizontal="center"/>
    </xf>
  </cellXfs>
  <cellStyles count="5">
    <cellStyle name="Hyperlink" xfId="4" builtinId="8"/>
    <cellStyle name="Normal" xfId="0" builtinId="0"/>
    <cellStyle name="Normal 2" xfId="2" xr:uid="{00000000-0005-0000-0000-000001000000}"/>
    <cellStyle name="Normal 3" xfId="3" xr:uid="{00000000-0005-0000-0000-000002000000}"/>
    <cellStyle name="Percent" xfId="1" builtinId="5"/>
  </cellStyles>
  <dxfs count="0"/>
  <tableStyles count="0" defaultTableStyle="TableStyleMedium2" defaultPivotStyle="PivotStyleLight16"/>
  <colors>
    <mruColors>
      <color rgb="FFD3FC04"/>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Analyte 1</a:t>
            </a:r>
          </a:p>
        </c:rich>
      </c:tx>
      <c:overlay val="0"/>
    </c:title>
    <c:autoTitleDeleted val="0"/>
    <c:plotArea>
      <c:layout>
        <c:manualLayout>
          <c:layoutTarget val="inner"/>
          <c:xMode val="edge"/>
          <c:yMode val="edge"/>
          <c:x val="9.9232409847338679E-2"/>
          <c:y val="0.1469152809588409"/>
          <c:w val="0.8455406883379728"/>
          <c:h val="0.71487914727995339"/>
        </c:manualLayout>
      </c:layout>
      <c:scatterChart>
        <c:scatterStyle val="lineMarker"/>
        <c:varyColors val="0"/>
        <c:ser>
          <c:idx val="0"/>
          <c:order val="1"/>
          <c:tx>
            <c:v>No Interference Line</c:v>
          </c:tx>
          <c:xVal>
            <c:numRef>
              <c:f>'Example-Dose Response'!$J$29:$J$30</c:f>
              <c:numCache>
                <c:formatCode>0.000</c:formatCode>
                <c:ptCount val="2"/>
                <c:pt idx="0">
                  <c:v>0</c:v>
                </c:pt>
                <c:pt idx="1">
                  <c:v>1000</c:v>
                </c:pt>
              </c:numCache>
            </c:numRef>
          </c:xVal>
          <c:yVal>
            <c:numRef>
              <c:f>'Example-Dose Response'!$J$31:$J$32</c:f>
              <c:numCache>
                <c:formatCode>0.000</c:formatCode>
                <c:ptCount val="2"/>
                <c:pt idx="0">
                  <c:v>118.2</c:v>
                </c:pt>
                <c:pt idx="1">
                  <c:v>118.2</c:v>
                </c:pt>
              </c:numCache>
            </c:numRef>
          </c:yVal>
          <c:smooth val="0"/>
          <c:extLst>
            <c:ext xmlns:c16="http://schemas.microsoft.com/office/drawing/2014/chart" uri="{C3380CC4-5D6E-409C-BE32-E72D297353CC}">
              <c16:uniqueId val="{00000000-CAED-4954-A294-C5D50DF7A164}"/>
            </c:ext>
          </c:extLst>
        </c:ser>
        <c:ser>
          <c:idx val="2"/>
          <c:order val="2"/>
          <c:tx>
            <c:v>+Dmax line</c:v>
          </c:tx>
          <c:spPr>
            <a:ln>
              <a:solidFill>
                <a:srgbClr val="FFFF00"/>
              </a:solidFill>
            </a:ln>
          </c:spPr>
          <c:xVal>
            <c:numRef>
              <c:f>'Example-Dose Response'!$K$29:$K$30</c:f>
              <c:numCache>
                <c:formatCode>0.000</c:formatCode>
                <c:ptCount val="2"/>
                <c:pt idx="0">
                  <c:v>0</c:v>
                </c:pt>
                <c:pt idx="1">
                  <c:v>1000</c:v>
                </c:pt>
              </c:numCache>
            </c:numRef>
          </c:xVal>
          <c:yVal>
            <c:numRef>
              <c:f>'Example-Dose Response'!$K$31:$K$32</c:f>
              <c:numCache>
                <c:formatCode>0.000</c:formatCode>
                <c:ptCount val="2"/>
                <c:pt idx="0">
                  <c:v>123.2</c:v>
                </c:pt>
                <c:pt idx="1">
                  <c:v>123.2</c:v>
                </c:pt>
              </c:numCache>
            </c:numRef>
          </c:yVal>
          <c:smooth val="0"/>
          <c:extLst>
            <c:ext xmlns:c16="http://schemas.microsoft.com/office/drawing/2014/chart" uri="{C3380CC4-5D6E-409C-BE32-E72D297353CC}">
              <c16:uniqueId val="{00000000-BC25-4724-9AFB-5D986A6BD2BB}"/>
            </c:ext>
          </c:extLst>
        </c:ser>
        <c:ser>
          <c:idx val="3"/>
          <c:order val="3"/>
          <c:tx>
            <c:v>-Dmax line</c:v>
          </c:tx>
          <c:spPr>
            <a:ln>
              <a:solidFill>
                <a:srgbClr val="FFFF00"/>
              </a:solidFill>
            </a:ln>
          </c:spPr>
          <c:xVal>
            <c:numRef>
              <c:f>'Example-Dose Response'!$L$29:$L$30</c:f>
              <c:numCache>
                <c:formatCode>0.000</c:formatCode>
                <c:ptCount val="2"/>
                <c:pt idx="0">
                  <c:v>0</c:v>
                </c:pt>
                <c:pt idx="1">
                  <c:v>1000</c:v>
                </c:pt>
              </c:numCache>
            </c:numRef>
          </c:xVal>
          <c:yVal>
            <c:numRef>
              <c:f>'Example-Dose Response'!$L$31:$L$32</c:f>
              <c:numCache>
                <c:formatCode>0.000</c:formatCode>
                <c:ptCount val="2"/>
                <c:pt idx="0">
                  <c:v>113.2</c:v>
                </c:pt>
                <c:pt idx="1">
                  <c:v>113.2</c:v>
                </c:pt>
              </c:numCache>
            </c:numRef>
          </c:yVal>
          <c:smooth val="0"/>
          <c:extLst>
            <c:ext xmlns:c16="http://schemas.microsoft.com/office/drawing/2014/chart" uri="{C3380CC4-5D6E-409C-BE32-E72D297353CC}">
              <c16:uniqueId val="{00000001-BC25-4724-9AFB-5D986A6BD2BB}"/>
            </c:ext>
          </c:extLst>
        </c:ser>
        <c:ser>
          <c:idx val="4"/>
          <c:order val="4"/>
          <c:tx>
            <c:v>+%Dmax line</c:v>
          </c:tx>
          <c:spPr>
            <a:ln>
              <a:solidFill>
                <a:schemeClr val="accent6"/>
              </a:solidFill>
            </a:ln>
          </c:spPr>
          <c:xVal>
            <c:numRef>
              <c:f>'Example-Dose Response'!$K$35:$K$36</c:f>
              <c:numCache>
                <c:formatCode>0.000</c:formatCode>
                <c:ptCount val="2"/>
                <c:pt idx="0">
                  <c:v>0</c:v>
                </c:pt>
                <c:pt idx="1">
                  <c:v>1000</c:v>
                </c:pt>
              </c:numCache>
            </c:numRef>
          </c:xVal>
          <c:yVal>
            <c:numRef>
              <c:f>'Example-Dose Response'!$K$37:$K$38</c:f>
              <c:numCache>
                <c:formatCode>0.000</c:formatCode>
                <c:ptCount val="2"/>
                <c:pt idx="0">
                  <c:v>130.02000000000001</c:v>
                </c:pt>
                <c:pt idx="1">
                  <c:v>130.02000000000001</c:v>
                </c:pt>
              </c:numCache>
            </c:numRef>
          </c:yVal>
          <c:smooth val="0"/>
          <c:extLst>
            <c:ext xmlns:c16="http://schemas.microsoft.com/office/drawing/2014/chart" uri="{C3380CC4-5D6E-409C-BE32-E72D297353CC}">
              <c16:uniqueId val="{00000002-BC25-4724-9AFB-5D986A6BD2BB}"/>
            </c:ext>
          </c:extLst>
        </c:ser>
        <c:ser>
          <c:idx val="5"/>
          <c:order val="5"/>
          <c:tx>
            <c:v>-%Dmax line</c:v>
          </c:tx>
          <c:xVal>
            <c:numRef>
              <c:f>'Example-Dose Response'!$L$35:$L$36</c:f>
              <c:numCache>
                <c:formatCode>0.000</c:formatCode>
                <c:ptCount val="2"/>
                <c:pt idx="0">
                  <c:v>0</c:v>
                </c:pt>
                <c:pt idx="1">
                  <c:v>1000</c:v>
                </c:pt>
              </c:numCache>
            </c:numRef>
          </c:xVal>
          <c:yVal>
            <c:numRef>
              <c:f>'Example-Dose Response'!$L$37:$L$38</c:f>
              <c:numCache>
                <c:formatCode>0.000</c:formatCode>
                <c:ptCount val="2"/>
                <c:pt idx="0">
                  <c:v>106.38</c:v>
                </c:pt>
                <c:pt idx="1">
                  <c:v>106.38</c:v>
                </c:pt>
              </c:numCache>
            </c:numRef>
          </c:yVal>
          <c:smooth val="0"/>
          <c:extLst>
            <c:ext xmlns:c16="http://schemas.microsoft.com/office/drawing/2014/chart" uri="{C3380CC4-5D6E-409C-BE32-E72D297353CC}">
              <c16:uniqueId val="{00000003-BC25-4724-9AFB-5D986A6BD2BB}"/>
            </c:ext>
          </c:extLst>
        </c:ser>
        <c:dLbls>
          <c:showLegendKey val="0"/>
          <c:showVal val="0"/>
          <c:showCatName val="0"/>
          <c:showSerName val="0"/>
          <c:showPercent val="0"/>
          <c:showBubbleSize val="0"/>
        </c:dLbls>
        <c:axId val="303710008"/>
        <c:axId val="303712752"/>
      </c:scatterChart>
      <c:scatterChart>
        <c:scatterStyle val="lineMarker"/>
        <c:varyColors val="0"/>
        <c:ser>
          <c:idx val="1"/>
          <c:order val="0"/>
          <c:tx>
            <c:v>Means</c:v>
          </c:tx>
          <c:spPr>
            <a:ln w="19050">
              <a:solidFill>
                <a:schemeClr val="tx1"/>
              </a:solidFill>
            </a:ln>
          </c:spPr>
          <c:marker>
            <c:spPr>
              <a:solidFill>
                <a:schemeClr val="tx1"/>
              </a:solidFill>
              <a:ln w="28575">
                <a:solidFill>
                  <a:schemeClr val="tx1"/>
                </a:solidFill>
              </a:ln>
            </c:spPr>
          </c:marker>
          <c:xVal>
            <c:numRef>
              <c:f>'Example-Dose Response'!$B$14:$B$18</c:f>
              <c:numCache>
                <c:formatCode>General</c:formatCode>
                <c:ptCount val="5"/>
                <c:pt idx="0">
                  <c:v>0</c:v>
                </c:pt>
                <c:pt idx="1">
                  <c:v>250</c:v>
                </c:pt>
                <c:pt idx="2">
                  <c:v>500</c:v>
                </c:pt>
                <c:pt idx="3">
                  <c:v>750</c:v>
                </c:pt>
                <c:pt idx="4">
                  <c:v>1000</c:v>
                </c:pt>
              </c:numCache>
            </c:numRef>
          </c:xVal>
          <c:yVal>
            <c:numRef>
              <c:f>'Example-Dose Response'!$H$14:$H$18</c:f>
              <c:numCache>
                <c:formatCode>0.0</c:formatCode>
                <c:ptCount val="5"/>
                <c:pt idx="0">
                  <c:v>118.2</c:v>
                </c:pt>
                <c:pt idx="1">
                  <c:v>121.6</c:v>
                </c:pt>
                <c:pt idx="2">
                  <c:v>121</c:v>
                </c:pt>
                <c:pt idx="3">
                  <c:v>123.8</c:v>
                </c:pt>
                <c:pt idx="4">
                  <c:v>132.80000000000001</c:v>
                </c:pt>
              </c:numCache>
            </c:numRef>
          </c:yVal>
          <c:smooth val="0"/>
          <c:extLst>
            <c:ext xmlns:c16="http://schemas.microsoft.com/office/drawing/2014/chart" uri="{C3380CC4-5D6E-409C-BE32-E72D297353CC}">
              <c16:uniqueId val="{00000001-197F-4FD1-B0B7-8794FA1D8979}"/>
            </c:ext>
          </c:extLst>
        </c:ser>
        <c:dLbls>
          <c:showLegendKey val="0"/>
          <c:showVal val="0"/>
          <c:showCatName val="0"/>
          <c:showSerName val="0"/>
          <c:showPercent val="0"/>
          <c:showBubbleSize val="0"/>
        </c:dLbls>
        <c:axId val="832742760"/>
        <c:axId val="832728328"/>
      </c:scatterChart>
      <c:valAx>
        <c:axId val="303710008"/>
        <c:scaling>
          <c:orientation val="minMax"/>
          <c:max val="1000"/>
        </c:scaling>
        <c:delete val="0"/>
        <c:axPos val="b"/>
        <c:majorGridlines/>
        <c:minorGridlines/>
        <c:title>
          <c:tx>
            <c:rich>
              <a:bodyPr/>
              <a:lstStyle/>
              <a:p>
                <a:pPr>
                  <a:defRPr/>
                </a:pPr>
                <a:r>
                  <a:rPr lang="en-US"/>
                  <a:t>Interference</a:t>
                </a:r>
                <a:r>
                  <a:rPr lang="en-US" baseline="0"/>
                  <a:t> Level</a:t>
                </a:r>
                <a:endParaRPr lang="en-US"/>
              </a:p>
            </c:rich>
          </c:tx>
          <c:layout>
            <c:manualLayout>
              <c:xMode val="edge"/>
              <c:yMode val="edge"/>
              <c:x val="0.42643571160577487"/>
              <c:y val="0.92927133962203545"/>
            </c:manualLayout>
          </c:layout>
          <c:overlay val="0"/>
        </c:title>
        <c:numFmt formatCode="0.000" sourceLinked="1"/>
        <c:majorTickMark val="out"/>
        <c:minorTickMark val="none"/>
        <c:tickLblPos val="nextTo"/>
        <c:crossAx val="303712752"/>
        <c:crosses val="autoZero"/>
        <c:crossBetween val="midCat"/>
      </c:valAx>
      <c:valAx>
        <c:axId val="303712752"/>
        <c:scaling>
          <c:orientation val="minMax"/>
          <c:min val="80"/>
        </c:scaling>
        <c:delete val="0"/>
        <c:axPos val="l"/>
        <c:majorGridlines/>
        <c:minorGridlines/>
        <c:title>
          <c:tx>
            <c:rich>
              <a:bodyPr/>
              <a:lstStyle/>
              <a:p>
                <a:pPr>
                  <a:defRPr/>
                </a:pPr>
                <a:r>
                  <a:rPr lang="en-US"/>
                  <a:t>Analyte Concentration </a:t>
                </a:r>
              </a:p>
            </c:rich>
          </c:tx>
          <c:layout>
            <c:manualLayout>
              <c:xMode val="edge"/>
              <c:yMode val="edge"/>
              <c:x val="1.7164925840133893E-3"/>
              <c:y val="0.26025596991928091"/>
            </c:manualLayout>
          </c:layout>
          <c:overlay val="0"/>
        </c:title>
        <c:numFmt formatCode="0" sourceLinked="0"/>
        <c:majorTickMark val="out"/>
        <c:minorTickMark val="none"/>
        <c:tickLblPos val="nextTo"/>
        <c:crossAx val="303710008"/>
        <c:crosses val="autoZero"/>
        <c:crossBetween val="midCat"/>
      </c:valAx>
      <c:valAx>
        <c:axId val="832728328"/>
        <c:scaling>
          <c:orientation val="minMax"/>
        </c:scaling>
        <c:delete val="1"/>
        <c:axPos val="r"/>
        <c:numFmt formatCode="0.0" sourceLinked="1"/>
        <c:majorTickMark val="out"/>
        <c:minorTickMark val="none"/>
        <c:tickLblPos val="nextTo"/>
        <c:crossAx val="832742760"/>
        <c:crosses val="max"/>
        <c:crossBetween val="midCat"/>
      </c:valAx>
      <c:valAx>
        <c:axId val="832742760"/>
        <c:scaling>
          <c:orientation val="minMax"/>
        </c:scaling>
        <c:delete val="1"/>
        <c:axPos val="b"/>
        <c:numFmt formatCode="General" sourceLinked="1"/>
        <c:majorTickMark val="out"/>
        <c:minorTickMark val="none"/>
        <c:tickLblPos val="nextTo"/>
        <c:crossAx val="832728328"/>
        <c:crosses val="autoZero"/>
        <c:crossBetween val="midCat"/>
      </c:valAx>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Analyte 1</a:t>
            </a:r>
          </a:p>
        </c:rich>
      </c:tx>
      <c:overlay val="0"/>
    </c:title>
    <c:autoTitleDeleted val="0"/>
    <c:plotArea>
      <c:layout>
        <c:manualLayout>
          <c:layoutTarget val="inner"/>
          <c:xMode val="edge"/>
          <c:yMode val="edge"/>
          <c:x val="9.9232409847338679E-2"/>
          <c:y val="0.1469152809588409"/>
          <c:w val="0.8455406883379728"/>
          <c:h val="0.71487914727995339"/>
        </c:manualLayout>
      </c:layout>
      <c:scatterChart>
        <c:scatterStyle val="lineMarker"/>
        <c:varyColors val="0"/>
        <c:ser>
          <c:idx val="0"/>
          <c:order val="1"/>
          <c:tx>
            <c:v>No Interference Line</c:v>
          </c:tx>
          <c:xVal>
            <c:numRef>
              <c:f>' Dose-Response Worksheet 1'!$J$29:$J$30</c:f>
              <c:numCache>
                <c:formatCode>0.000</c:formatCode>
                <c:ptCount val="2"/>
                <c:pt idx="0">
                  <c:v>0</c:v>
                </c:pt>
                <c:pt idx="1">
                  <c:v>0</c:v>
                </c:pt>
              </c:numCache>
            </c:numRef>
          </c:xVal>
          <c:yVal>
            <c:numRef>
              <c:f>' Dose-Response Worksheet 1'!$J$31:$J$32</c:f>
              <c:numCache>
                <c:formatCode>0.000</c:formatCode>
                <c:ptCount val="2"/>
                <c:pt idx="0">
                  <c:v>0</c:v>
                </c:pt>
                <c:pt idx="1">
                  <c:v>0</c:v>
                </c:pt>
              </c:numCache>
            </c:numRef>
          </c:yVal>
          <c:smooth val="0"/>
          <c:extLst>
            <c:ext xmlns:c16="http://schemas.microsoft.com/office/drawing/2014/chart" uri="{C3380CC4-5D6E-409C-BE32-E72D297353CC}">
              <c16:uniqueId val="{00000000-B24B-4D44-B169-3BE1348C0348}"/>
            </c:ext>
          </c:extLst>
        </c:ser>
        <c:ser>
          <c:idx val="2"/>
          <c:order val="2"/>
          <c:tx>
            <c:v>+Dmax line</c:v>
          </c:tx>
          <c:spPr>
            <a:ln>
              <a:solidFill>
                <a:srgbClr val="FFFF00"/>
              </a:solidFill>
            </a:ln>
          </c:spPr>
          <c:xVal>
            <c:numRef>
              <c:f>' Dose-Response Worksheet 1'!$K$29:$K$30</c:f>
              <c:numCache>
                <c:formatCode>0.000</c:formatCode>
                <c:ptCount val="2"/>
                <c:pt idx="0">
                  <c:v>0</c:v>
                </c:pt>
                <c:pt idx="1">
                  <c:v>0</c:v>
                </c:pt>
              </c:numCache>
            </c:numRef>
          </c:xVal>
          <c:yVal>
            <c:numRef>
              <c:f>' Dose-Response Worksheet 1'!$K$31:$K$32</c:f>
              <c:numCache>
                <c:formatCode>0.000</c:formatCode>
                <c:ptCount val="2"/>
                <c:pt idx="0">
                  <c:v>0</c:v>
                </c:pt>
                <c:pt idx="1">
                  <c:v>0</c:v>
                </c:pt>
              </c:numCache>
            </c:numRef>
          </c:yVal>
          <c:smooth val="0"/>
          <c:extLst>
            <c:ext xmlns:c16="http://schemas.microsoft.com/office/drawing/2014/chart" uri="{C3380CC4-5D6E-409C-BE32-E72D297353CC}">
              <c16:uniqueId val="{00000001-B24B-4D44-B169-3BE1348C0348}"/>
            </c:ext>
          </c:extLst>
        </c:ser>
        <c:ser>
          <c:idx val="3"/>
          <c:order val="3"/>
          <c:tx>
            <c:v>-Dmax line</c:v>
          </c:tx>
          <c:spPr>
            <a:ln>
              <a:solidFill>
                <a:srgbClr val="FFFF00"/>
              </a:solidFill>
            </a:ln>
          </c:spPr>
          <c:xVal>
            <c:numRef>
              <c:f>' Dose-Response Worksheet 1'!$L$29:$L$30</c:f>
              <c:numCache>
                <c:formatCode>0.000</c:formatCode>
                <c:ptCount val="2"/>
                <c:pt idx="0">
                  <c:v>0</c:v>
                </c:pt>
                <c:pt idx="1">
                  <c:v>0</c:v>
                </c:pt>
              </c:numCache>
            </c:numRef>
          </c:xVal>
          <c:yVal>
            <c:numRef>
              <c:f>' Dose-Response Worksheet 1'!$L$31:$L$32</c:f>
              <c:numCache>
                <c:formatCode>0.000</c:formatCode>
                <c:ptCount val="2"/>
                <c:pt idx="0">
                  <c:v>0</c:v>
                </c:pt>
                <c:pt idx="1">
                  <c:v>0</c:v>
                </c:pt>
              </c:numCache>
            </c:numRef>
          </c:yVal>
          <c:smooth val="0"/>
          <c:extLst>
            <c:ext xmlns:c16="http://schemas.microsoft.com/office/drawing/2014/chart" uri="{C3380CC4-5D6E-409C-BE32-E72D297353CC}">
              <c16:uniqueId val="{00000002-B24B-4D44-B169-3BE1348C0348}"/>
            </c:ext>
          </c:extLst>
        </c:ser>
        <c:ser>
          <c:idx val="4"/>
          <c:order val="4"/>
          <c:tx>
            <c:v>+%Dmax line</c:v>
          </c:tx>
          <c:spPr>
            <a:ln>
              <a:solidFill>
                <a:schemeClr val="accent6"/>
              </a:solidFill>
            </a:ln>
          </c:spPr>
          <c:xVal>
            <c:numRef>
              <c:f>' Dose-Response Worksheet 1'!$K$35:$K$36</c:f>
              <c:numCache>
                <c:formatCode>0.000</c:formatCode>
                <c:ptCount val="2"/>
                <c:pt idx="0">
                  <c:v>0</c:v>
                </c:pt>
                <c:pt idx="1">
                  <c:v>0</c:v>
                </c:pt>
              </c:numCache>
            </c:numRef>
          </c:xVal>
          <c:yVal>
            <c:numRef>
              <c:f>' Dose-Response Worksheet 1'!$K$37:$K$38</c:f>
              <c:numCache>
                <c:formatCode>0.000</c:formatCode>
                <c:ptCount val="2"/>
                <c:pt idx="0">
                  <c:v>0</c:v>
                </c:pt>
                <c:pt idx="1">
                  <c:v>0</c:v>
                </c:pt>
              </c:numCache>
            </c:numRef>
          </c:yVal>
          <c:smooth val="0"/>
          <c:extLst>
            <c:ext xmlns:c16="http://schemas.microsoft.com/office/drawing/2014/chart" uri="{C3380CC4-5D6E-409C-BE32-E72D297353CC}">
              <c16:uniqueId val="{00000003-B24B-4D44-B169-3BE1348C0348}"/>
            </c:ext>
          </c:extLst>
        </c:ser>
        <c:ser>
          <c:idx val="5"/>
          <c:order val="5"/>
          <c:tx>
            <c:v>-%Dmax line</c:v>
          </c:tx>
          <c:xVal>
            <c:numRef>
              <c:f>' Dose-Response Worksheet 1'!$L$35:$L$36</c:f>
              <c:numCache>
                <c:formatCode>0.000</c:formatCode>
                <c:ptCount val="2"/>
                <c:pt idx="0">
                  <c:v>0</c:v>
                </c:pt>
                <c:pt idx="1">
                  <c:v>0</c:v>
                </c:pt>
              </c:numCache>
            </c:numRef>
          </c:xVal>
          <c:yVal>
            <c:numRef>
              <c:f>' Dose-Response Worksheet 1'!$L$37:$L$38</c:f>
              <c:numCache>
                <c:formatCode>0.000</c:formatCode>
                <c:ptCount val="2"/>
                <c:pt idx="0">
                  <c:v>0</c:v>
                </c:pt>
                <c:pt idx="1">
                  <c:v>0</c:v>
                </c:pt>
              </c:numCache>
            </c:numRef>
          </c:yVal>
          <c:smooth val="0"/>
          <c:extLst>
            <c:ext xmlns:c16="http://schemas.microsoft.com/office/drawing/2014/chart" uri="{C3380CC4-5D6E-409C-BE32-E72D297353CC}">
              <c16:uniqueId val="{00000004-B24B-4D44-B169-3BE1348C0348}"/>
            </c:ext>
          </c:extLst>
        </c:ser>
        <c:dLbls>
          <c:showLegendKey val="0"/>
          <c:showVal val="0"/>
          <c:showCatName val="0"/>
          <c:showSerName val="0"/>
          <c:showPercent val="0"/>
          <c:showBubbleSize val="0"/>
        </c:dLbls>
        <c:axId val="303710008"/>
        <c:axId val="303712752"/>
      </c:scatterChart>
      <c:scatterChart>
        <c:scatterStyle val="lineMarker"/>
        <c:varyColors val="0"/>
        <c:ser>
          <c:idx val="1"/>
          <c:order val="0"/>
          <c:tx>
            <c:v>Means</c:v>
          </c:tx>
          <c:spPr>
            <a:ln w="19050">
              <a:solidFill>
                <a:schemeClr val="tx1"/>
              </a:solidFill>
            </a:ln>
          </c:spPr>
          <c:marker>
            <c:spPr>
              <a:solidFill>
                <a:schemeClr val="tx1"/>
              </a:solidFill>
              <a:ln w="28575">
                <a:solidFill>
                  <a:schemeClr val="tx1"/>
                </a:solidFill>
              </a:ln>
            </c:spPr>
          </c:marker>
          <c:xVal>
            <c:numRef>
              <c:f>' Dose-Response Worksheet 1'!$B$14:$B$18</c:f>
              <c:numCache>
                <c:formatCode>General</c:formatCode>
                <c:ptCount val="5"/>
                <c:pt idx="1">
                  <c:v>0</c:v>
                </c:pt>
                <c:pt idx="2">
                  <c:v>0</c:v>
                </c:pt>
                <c:pt idx="3">
                  <c:v>0</c:v>
                </c:pt>
              </c:numCache>
            </c:numRef>
          </c:xVal>
          <c:yVal>
            <c:numRef>
              <c:f>' Dose-Response Worksheet 1'!$H$14:$H$18</c:f>
              <c:numCache>
                <c:formatCode>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5-B24B-4D44-B169-3BE1348C0348}"/>
            </c:ext>
          </c:extLst>
        </c:ser>
        <c:dLbls>
          <c:showLegendKey val="0"/>
          <c:showVal val="0"/>
          <c:showCatName val="0"/>
          <c:showSerName val="0"/>
          <c:showPercent val="0"/>
          <c:showBubbleSize val="0"/>
        </c:dLbls>
        <c:axId val="832742760"/>
        <c:axId val="832728328"/>
      </c:scatterChart>
      <c:valAx>
        <c:axId val="303710008"/>
        <c:scaling>
          <c:orientation val="minMax"/>
        </c:scaling>
        <c:delete val="0"/>
        <c:axPos val="b"/>
        <c:majorGridlines/>
        <c:minorGridlines/>
        <c:title>
          <c:tx>
            <c:rich>
              <a:bodyPr/>
              <a:lstStyle/>
              <a:p>
                <a:pPr>
                  <a:defRPr/>
                </a:pPr>
                <a:r>
                  <a:rPr lang="en-US"/>
                  <a:t>Interference</a:t>
                </a:r>
                <a:r>
                  <a:rPr lang="en-US" baseline="0"/>
                  <a:t> Level</a:t>
                </a:r>
                <a:endParaRPr lang="en-US"/>
              </a:p>
            </c:rich>
          </c:tx>
          <c:layout>
            <c:manualLayout>
              <c:xMode val="edge"/>
              <c:yMode val="edge"/>
              <c:x val="0.42643571160577487"/>
              <c:y val="0.92927133962203545"/>
            </c:manualLayout>
          </c:layout>
          <c:overlay val="0"/>
        </c:title>
        <c:numFmt formatCode="0.000" sourceLinked="1"/>
        <c:majorTickMark val="out"/>
        <c:minorTickMark val="none"/>
        <c:tickLblPos val="nextTo"/>
        <c:crossAx val="303712752"/>
        <c:crosses val="autoZero"/>
        <c:crossBetween val="midCat"/>
      </c:valAx>
      <c:valAx>
        <c:axId val="303712752"/>
        <c:scaling>
          <c:orientation val="minMax"/>
        </c:scaling>
        <c:delete val="0"/>
        <c:axPos val="l"/>
        <c:majorGridlines/>
        <c:minorGridlines/>
        <c:title>
          <c:tx>
            <c:rich>
              <a:bodyPr/>
              <a:lstStyle/>
              <a:p>
                <a:pPr>
                  <a:defRPr/>
                </a:pPr>
                <a:r>
                  <a:rPr lang="en-US"/>
                  <a:t>Analyte Concentration </a:t>
                </a:r>
              </a:p>
            </c:rich>
          </c:tx>
          <c:layout>
            <c:manualLayout>
              <c:xMode val="edge"/>
              <c:yMode val="edge"/>
              <c:x val="1.7164925840133893E-3"/>
              <c:y val="0.26025596991928091"/>
            </c:manualLayout>
          </c:layout>
          <c:overlay val="0"/>
        </c:title>
        <c:numFmt formatCode="0" sourceLinked="0"/>
        <c:majorTickMark val="out"/>
        <c:minorTickMark val="none"/>
        <c:tickLblPos val="nextTo"/>
        <c:crossAx val="303710008"/>
        <c:crosses val="autoZero"/>
        <c:crossBetween val="midCat"/>
      </c:valAx>
      <c:valAx>
        <c:axId val="832728328"/>
        <c:scaling>
          <c:orientation val="minMax"/>
        </c:scaling>
        <c:delete val="1"/>
        <c:axPos val="r"/>
        <c:numFmt formatCode="0.0" sourceLinked="1"/>
        <c:majorTickMark val="out"/>
        <c:minorTickMark val="none"/>
        <c:tickLblPos val="nextTo"/>
        <c:crossAx val="832742760"/>
        <c:crosses val="max"/>
        <c:crossBetween val="midCat"/>
      </c:valAx>
      <c:valAx>
        <c:axId val="832742760"/>
        <c:scaling>
          <c:orientation val="minMax"/>
        </c:scaling>
        <c:delete val="1"/>
        <c:axPos val="b"/>
        <c:numFmt formatCode="General" sourceLinked="1"/>
        <c:majorTickMark val="out"/>
        <c:minorTickMark val="none"/>
        <c:tickLblPos val="nextTo"/>
        <c:crossAx val="832728328"/>
        <c:crosses val="autoZero"/>
        <c:crossBetween val="midCat"/>
      </c:valAx>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Analyte 1</a:t>
            </a:r>
          </a:p>
        </c:rich>
      </c:tx>
      <c:overlay val="0"/>
    </c:title>
    <c:autoTitleDeleted val="0"/>
    <c:plotArea>
      <c:layout>
        <c:manualLayout>
          <c:layoutTarget val="inner"/>
          <c:xMode val="edge"/>
          <c:yMode val="edge"/>
          <c:x val="9.9232409847338679E-2"/>
          <c:y val="0.1469152809588409"/>
          <c:w val="0.8455406883379728"/>
          <c:h val="0.71487914727995339"/>
        </c:manualLayout>
      </c:layout>
      <c:scatterChart>
        <c:scatterStyle val="lineMarker"/>
        <c:varyColors val="0"/>
        <c:ser>
          <c:idx val="0"/>
          <c:order val="1"/>
          <c:tx>
            <c:v>No Interference Line</c:v>
          </c:tx>
          <c:xVal>
            <c:numRef>
              <c:f>'Dose-Response Worksheet 2'!$J$29:$J$30</c:f>
              <c:numCache>
                <c:formatCode>0.000</c:formatCode>
                <c:ptCount val="2"/>
                <c:pt idx="0">
                  <c:v>0</c:v>
                </c:pt>
                <c:pt idx="1">
                  <c:v>0</c:v>
                </c:pt>
              </c:numCache>
            </c:numRef>
          </c:xVal>
          <c:yVal>
            <c:numRef>
              <c:f>'Dose-Response Worksheet 2'!$J$31:$J$32</c:f>
              <c:numCache>
                <c:formatCode>0.000</c:formatCode>
                <c:ptCount val="2"/>
                <c:pt idx="0">
                  <c:v>0</c:v>
                </c:pt>
                <c:pt idx="1">
                  <c:v>0</c:v>
                </c:pt>
              </c:numCache>
            </c:numRef>
          </c:yVal>
          <c:smooth val="0"/>
          <c:extLst>
            <c:ext xmlns:c16="http://schemas.microsoft.com/office/drawing/2014/chart" uri="{C3380CC4-5D6E-409C-BE32-E72D297353CC}">
              <c16:uniqueId val="{00000000-C8D8-4330-96A0-719C7DDB70B8}"/>
            </c:ext>
          </c:extLst>
        </c:ser>
        <c:ser>
          <c:idx val="2"/>
          <c:order val="2"/>
          <c:tx>
            <c:v>+Dmax line</c:v>
          </c:tx>
          <c:spPr>
            <a:ln>
              <a:solidFill>
                <a:srgbClr val="FFFF00"/>
              </a:solidFill>
            </a:ln>
          </c:spPr>
          <c:xVal>
            <c:numRef>
              <c:f>'Dose-Response Worksheet 2'!$K$29:$K$30</c:f>
              <c:numCache>
                <c:formatCode>0.000</c:formatCode>
                <c:ptCount val="2"/>
                <c:pt idx="0">
                  <c:v>0</c:v>
                </c:pt>
                <c:pt idx="1">
                  <c:v>0</c:v>
                </c:pt>
              </c:numCache>
            </c:numRef>
          </c:xVal>
          <c:yVal>
            <c:numRef>
              <c:f>'Dose-Response Worksheet 2'!$K$31:$K$32</c:f>
              <c:numCache>
                <c:formatCode>0.000</c:formatCode>
                <c:ptCount val="2"/>
                <c:pt idx="0">
                  <c:v>0</c:v>
                </c:pt>
                <c:pt idx="1">
                  <c:v>0</c:v>
                </c:pt>
              </c:numCache>
            </c:numRef>
          </c:yVal>
          <c:smooth val="0"/>
          <c:extLst>
            <c:ext xmlns:c16="http://schemas.microsoft.com/office/drawing/2014/chart" uri="{C3380CC4-5D6E-409C-BE32-E72D297353CC}">
              <c16:uniqueId val="{00000001-C8D8-4330-96A0-719C7DDB70B8}"/>
            </c:ext>
          </c:extLst>
        </c:ser>
        <c:ser>
          <c:idx val="3"/>
          <c:order val="3"/>
          <c:tx>
            <c:v>-Dmax line</c:v>
          </c:tx>
          <c:spPr>
            <a:ln>
              <a:solidFill>
                <a:srgbClr val="FFFF00"/>
              </a:solidFill>
            </a:ln>
          </c:spPr>
          <c:xVal>
            <c:numRef>
              <c:f>'Dose-Response Worksheet 2'!$L$29:$L$30</c:f>
              <c:numCache>
                <c:formatCode>0.000</c:formatCode>
                <c:ptCount val="2"/>
                <c:pt idx="0">
                  <c:v>0</c:v>
                </c:pt>
                <c:pt idx="1">
                  <c:v>0</c:v>
                </c:pt>
              </c:numCache>
            </c:numRef>
          </c:xVal>
          <c:yVal>
            <c:numRef>
              <c:f>'Dose-Response Worksheet 2'!$L$31:$L$32</c:f>
              <c:numCache>
                <c:formatCode>0.000</c:formatCode>
                <c:ptCount val="2"/>
                <c:pt idx="0">
                  <c:v>0</c:v>
                </c:pt>
                <c:pt idx="1">
                  <c:v>0</c:v>
                </c:pt>
              </c:numCache>
            </c:numRef>
          </c:yVal>
          <c:smooth val="0"/>
          <c:extLst>
            <c:ext xmlns:c16="http://schemas.microsoft.com/office/drawing/2014/chart" uri="{C3380CC4-5D6E-409C-BE32-E72D297353CC}">
              <c16:uniqueId val="{00000002-C8D8-4330-96A0-719C7DDB70B8}"/>
            </c:ext>
          </c:extLst>
        </c:ser>
        <c:ser>
          <c:idx val="4"/>
          <c:order val="4"/>
          <c:tx>
            <c:v>+%Dmax line</c:v>
          </c:tx>
          <c:spPr>
            <a:ln>
              <a:solidFill>
                <a:schemeClr val="accent6"/>
              </a:solidFill>
            </a:ln>
          </c:spPr>
          <c:xVal>
            <c:numRef>
              <c:f>'Dose-Response Worksheet 2'!$K$35:$K$36</c:f>
              <c:numCache>
                <c:formatCode>0.000</c:formatCode>
                <c:ptCount val="2"/>
                <c:pt idx="0">
                  <c:v>0</c:v>
                </c:pt>
                <c:pt idx="1">
                  <c:v>0</c:v>
                </c:pt>
              </c:numCache>
            </c:numRef>
          </c:xVal>
          <c:yVal>
            <c:numRef>
              <c:f>'Dose-Response Worksheet 2'!$K$37:$K$38</c:f>
              <c:numCache>
                <c:formatCode>0.000</c:formatCode>
                <c:ptCount val="2"/>
                <c:pt idx="0">
                  <c:v>0</c:v>
                </c:pt>
                <c:pt idx="1">
                  <c:v>0</c:v>
                </c:pt>
              </c:numCache>
            </c:numRef>
          </c:yVal>
          <c:smooth val="0"/>
          <c:extLst>
            <c:ext xmlns:c16="http://schemas.microsoft.com/office/drawing/2014/chart" uri="{C3380CC4-5D6E-409C-BE32-E72D297353CC}">
              <c16:uniqueId val="{00000003-C8D8-4330-96A0-719C7DDB70B8}"/>
            </c:ext>
          </c:extLst>
        </c:ser>
        <c:ser>
          <c:idx val="5"/>
          <c:order val="5"/>
          <c:tx>
            <c:v>-%Dmax line</c:v>
          </c:tx>
          <c:xVal>
            <c:numRef>
              <c:f>'Dose-Response Worksheet 2'!$L$35:$L$36</c:f>
              <c:numCache>
                <c:formatCode>0.000</c:formatCode>
                <c:ptCount val="2"/>
                <c:pt idx="0">
                  <c:v>0</c:v>
                </c:pt>
                <c:pt idx="1">
                  <c:v>0</c:v>
                </c:pt>
              </c:numCache>
            </c:numRef>
          </c:xVal>
          <c:yVal>
            <c:numRef>
              <c:f>'Dose-Response Worksheet 2'!$L$37:$L$38</c:f>
              <c:numCache>
                <c:formatCode>0.000</c:formatCode>
                <c:ptCount val="2"/>
                <c:pt idx="0">
                  <c:v>0</c:v>
                </c:pt>
                <c:pt idx="1">
                  <c:v>0</c:v>
                </c:pt>
              </c:numCache>
            </c:numRef>
          </c:yVal>
          <c:smooth val="0"/>
          <c:extLst>
            <c:ext xmlns:c16="http://schemas.microsoft.com/office/drawing/2014/chart" uri="{C3380CC4-5D6E-409C-BE32-E72D297353CC}">
              <c16:uniqueId val="{00000004-C8D8-4330-96A0-719C7DDB70B8}"/>
            </c:ext>
          </c:extLst>
        </c:ser>
        <c:dLbls>
          <c:showLegendKey val="0"/>
          <c:showVal val="0"/>
          <c:showCatName val="0"/>
          <c:showSerName val="0"/>
          <c:showPercent val="0"/>
          <c:showBubbleSize val="0"/>
        </c:dLbls>
        <c:axId val="303710008"/>
        <c:axId val="303712752"/>
      </c:scatterChart>
      <c:scatterChart>
        <c:scatterStyle val="lineMarker"/>
        <c:varyColors val="0"/>
        <c:ser>
          <c:idx val="1"/>
          <c:order val="0"/>
          <c:tx>
            <c:v>Means</c:v>
          </c:tx>
          <c:spPr>
            <a:ln w="19050">
              <a:solidFill>
                <a:schemeClr val="tx1"/>
              </a:solidFill>
            </a:ln>
          </c:spPr>
          <c:marker>
            <c:spPr>
              <a:solidFill>
                <a:schemeClr val="tx1"/>
              </a:solidFill>
              <a:ln w="28575">
                <a:solidFill>
                  <a:schemeClr val="tx1"/>
                </a:solidFill>
              </a:ln>
            </c:spPr>
          </c:marker>
          <c:xVal>
            <c:numRef>
              <c:f>'Dose-Response Worksheet 2'!$B$14:$B$18</c:f>
              <c:numCache>
                <c:formatCode>General</c:formatCode>
                <c:ptCount val="5"/>
                <c:pt idx="1">
                  <c:v>0</c:v>
                </c:pt>
                <c:pt idx="2">
                  <c:v>0</c:v>
                </c:pt>
                <c:pt idx="3">
                  <c:v>0</c:v>
                </c:pt>
              </c:numCache>
            </c:numRef>
          </c:xVal>
          <c:yVal>
            <c:numRef>
              <c:f>'Dose-Response Worksheet 2'!$H$14:$H$18</c:f>
              <c:numCache>
                <c:formatCode>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5-C8D8-4330-96A0-719C7DDB70B8}"/>
            </c:ext>
          </c:extLst>
        </c:ser>
        <c:dLbls>
          <c:showLegendKey val="0"/>
          <c:showVal val="0"/>
          <c:showCatName val="0"/>
          <c:showSerName val="0"/>
          <c:showPercent val="0"/>
          <c:showBubbleSize val="0"/>
        </c:dLbls>
        <c:axId val="832742760"/>
        <c:axId val="832728328"/>
      </c:scatterChart>
      <c:valAx>
        <c:axId val="303710008"/>
        <c:scaling>
          <c:orientation val="minMax"/>
        </c:scaling>
        <c:delete val="0"/>
        <c:axPos val="b"/>
        <c:majorGridlines/>
        <c:minorGridlines/>
        <c:title>
          <c:tx>
            <c:rich>
              <a:bodyPr/>
              <a:lstStyle/>
              <a:p>
                <a:pPr>
                  <a:defRPr/>
                </a:pPr>
                <a:r>
                  <a:rPr lang="en-US"/>
                  <a:t>Interference</a:t>
                </a:r>
                <a:r>
                  <a:rPr lang="en-US" baseline="0"/>
                  <a:t> Level</a:t>
                </a:r>
                <a:endParaRPr lang="en-US"/>
              </a:p>
            </c:rich>
          </c:tx>
          <c:layout>
            <c:manualLayout>
              <c:xMode val="edge"/>
              <c:yMode val="edge"/>
              <c:x val="0.42643571160577487"/>
              <c:y val="0.92927133962203545"/>
            </c:manualLayout>
          </c:layout>
          <c:overlay val="0"/>
        </c:title>
        <c:numFmt formatCode="0.000" sourceLinked="1"/>
        <c:majorTickMark val="out"/>
        <c:minorTickMark val="none"/>
        <c:tickLblPos val="nextTo"/>
        <c:crossAx val="303712752"/>
        <c:crosses val="autoZero"/>
        <c:crossBetween val="midCat"/>
      </c:valAx>
      <c:valAx>
        <c:axId val="303712752"/>
        <c:scaling>
          <c:orientation val="minMax"/>
        </c:scaling>
        <c:delete val="0"/>
        <c:axPos val="l"/>
        <c:majorGridlines/>
        <c:minorGridlines/>
        <c:title>
          <c:tx>
            <c:rich>
              <a:bodyPr/>
              <a:lstStyle/>
              <a:p>
                <a:pPr>
                  <a:defRPr/>
                </a:pPr>
                <a:r>
                  <a:rPr lang="en-US"/>
                  <a:t>Analyte Concentration </a:t>
                </a:r>
              </a:p>
            </c:rich>
          </c:tx>
          <c:layout>
            <c:manualLayout>
              <c:xMode val="edge"/>
              <c:yMode val="edge"/>
              <c:x val="1.7164925840133893E-3"/>
              <c:y val="0.26025596991928091"/>
            </c:manualLayout>
          </c:layout>
          <c:overlay val="0"/>
        </c:title>
        <c:numFmt formatCode="0" sourceLinked="0"/>
        <c:majorTickMark val="out"/>
        <c:minorTickMark val="none"/>
        <c:tickLblPos val="nextTo"/>
        <c:crossAx val="303710008"/>
        <c:crosses val="autoZero"/>
        <c:crossBetween val="midCat"/>
      </c:valAx>
      <c:valAx>
        <c:axId val="832728328"/>
        <c:scaling>
          <c:orientation val="minMax"/>
        </c:scaling>
        <c:delete val="1"/>
        <c:axPos val="r"/>
        <c:numFmt formatCode="0.0" sourceLinked="1"/>
        <c:majorTickMark val="out"/>
        <c:minorTickMark val="none"/>
        <c:tickLblPos val="nextTo"/>
        <c:crossAx val="832742760"/>
        <c:crosses val="max"/>
        <c:crossBetween val="midCat"/>
      </c:valAx>
      <c:valAx>
        <c:axId val="832742760"/>
        <c:scaling>
          <c:orientation val="minMax"/>
        </c:scaling>
        <c:delete val="1"/>
        <c:axPos val="b"/>
        <c:numFmt formatCode="General" sourceLinked="1"/>
        <c:majorTickMark val="out"/>
        <c:minorTickMark val="none"/>
        <c:tickLblPos val="nextTo"/>
        <c:crossAx val="832728328"/>
        <c:crosses val="autoZero"/>
        <c:crossBetween val="midCat"/>
      </c:valAx>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Analyte 1</a:t>
            </a:r>
          </a:p>
        </c:rich>
      </c:tx>
      <c:overlay val="0"/>
    </c:title>
    <c:autoTitleDeleted val="0"/>
    <c:plotArea>
      <c:layout>
        <c:manualLayout>
          <c:layoutTarget val="inner"/>
          <c:xMode val="edge"/>
          <c:yMode val="edge"/>
          <c:x val="9.9232409847338679E-2"/>
          <c:y val="0.1469152809588409"/>
          <c:w val="0.8455406883379728"/>
          <c:h val="0.71487914727995339"/>
        </c:manualLayout>
      </c:layout>
      <c:scatterChart>
        <c:scatterStyle val="lineMarker"/>
        <c:varyColors val="0"/>
        <c:ser>
          <c:idx val="0"/>
          <c:order val="1"/>
          <c:tx>
            <c:v>No Interference Line</c:v>
          </c:tx>
          <c:xVal>
            <c:numRef>
              <c:f>'Dose-Response Worksheet 3'!$J$29:$J$30</c:f>
              <c:numCache>
                <c:formatCode>0.000</c:formatCode>
                <c:ptCount val="2"/>
                <c:pt idx="0">
                  <c:v>0</c:v>
                </c:pt>
                <c:pt idx="1">
                  <c:v>0</c:v>
                </c:pt>
              </c:numCache>
            </c:numRef>
          </c:xVal>
          <c:yVal>
            <c:numRef>
              <c:f>'Dose-Response Worksheet 3'!$J$31:$J$32</c:f>
              <c:numCache>
                <c:formatCode>0.000</c:formatCode>
                <c:ptCount val="2"/>
                <c:pt idx="0">
                  <c:v>0</c:v>
                </c:pt>
                <c:pt idx="1">
                  <c:v>0</c:v>
                </c:pt>
              </c:numCache>
            </c:numRef>
          </c:yVal>
          <c:smooth val="0"/>
          <c:extLst>
            <c:ext xmlns:c16="http://schemas.microsoft.com/office/drawing/2014/chart" uri="{C3380CC4-5D6E-409C-BE32-E72D297353CC}">
              <c16:uniqueId val="{00000000-3F65-4790-9321-2533B2EE256E}"/>
            </c:ext>
          </c:extLst>
        </c:ser>
        <c:ser>
          <c:idx val="2"/>
          <c:order val="2"/>
          <c:tx>
            <c:v>+Dmax line</c:v>
          </c:tx>
          <c:spPr>
            <a:ln>
              <a:solidFill>
                <a:srgbClr val="FFFF00"/>
              </a:solidFill>
            </a:ln>
          </c:spPr>
          <c:xVal>
            <c:numRef>
              <c:f>'Dose-Response Worksheet 3'!$K$29:$K$30</c:f>
              <c:numCache>
                <c:formatCode>0.000</c:formatCode>
                <c:ptCount val="2"/>
                <c:pt idx="0">
                  <c:v>0</c:v>
                </c:pt>
                <c:pt idx="1">
                  <c:v>0</c:v>
                </c:pt>
              </c:numCache>
            </c:numRef>
          </c:xVal>
          <c:yVal>
            <c:numRef>
              <c:f>'Dose-Response Worksheet 3'!$K$31:$K$32</c:f>
              <c:numCache>
                <c:formatCode>0.000</c:formatCode>
                <c:ptCount val="2"/>
                <c:pt idx="0">
                  <c:v>0</c:v>
                </c:pt>
                <c:pt idx="1">
                  <c:v>0</c:v>
                </c:pt>
              </c:numCache>
            </c:numRef>
          </c:yVal>
          <c:smooth val="0"/>
          <c:extLst>
            <c:ext xmlns:c16="http://schemas.microsoft.com/office/drawing/2014/chart" uri="{C3380CC4-5D6E-409C-BE32-E72D297353CC}">
              <c16:uniqueId val="{00000001-3F65-4790-9321-2533B2EE256E}"/>
            </c:ext>
          </c:extLst>
        </c:ser>
        <c:ser>
          <c:idx val="3"/>
          <c:order val="3"/>
          <c:tx>
            <c:v>-Dmax line</c:v>
          </c:tx>
          <c:spPr>
            <a:ln>
              <a:solidFill>
                <a:srgbClr val="FFFF00"/>
              </a:solidFill>
            </a:ln>
          </c:spPr>
          <c:xVal>
            <c:numRef>
              <c:f>'Dose-Response Worksheet 3'!$L$29:$L$30</c:f>
              <c:numCache>
                <c:formatCode>0.000</c:formatCode>
                <c:ptCount val="2"/>
                <c:pt idx="0">
                  <c:v>0</c:v>
                </c:pt>
                <c:pt idx="1">
                  <c:v>0</c:v>
                </c:pt>
              </c:numCache>
            </c:numRef>
          </c:xVal>
          <c:yVal>
            <c:numRef>
              <c:f>'Dose-Response Worksheet 3'!$L$31:$L$32</c:f>
              <c:numCache>
                <c:formatCode>0.000</c:formatCode>
                <c:ptCount val="2"/>
                <c:pt idx="0">
                  <c:v>0</c:v>
                </c:pt>
                <c:pt idx="1">
                  <c:v>0</c:v>
                </c:pt>
              </c:numCache>
            </c:numRef>
          </c:yVal>
          <c:smooth val="0"/>
          <c:extLst>
            <c:ext xmlns:c16="http://schemas.microsoft.com/office/drawing/2014/chart" uri="{C3380CC4-5D6E-409C-BE32-E72D297353CC}">
              <c16:uniqueId val="{00000002-3F65-4790-9321-2533B2EE256E}"/>
            </c:ext>
          </c:extLst>
        </c:ser>
        <c:ser>
          <c:idx val="4"/>
          <c:order val="4"/>
          <c:tx>
            <c:v>+%Dmax line</c:v>
          </c:tx>
          <c:spPr>
            <a:ln>
              <a:solidFill>
                <a:schemeClr val="accent6"/>
              </a:solidFill>
            </a:ln>
          </c:spPr>
          <c:xVal>
            <c:numRef>
              <c:f>'Dose-Response Worksheet 3'!$K$35:$K$36</c:f>
              <c:numCache>
                <c:formatCode>0.000</c:formatCode>
                <c:ptCount val="2"/>
                <c:pt idx="0">
                  <c:v>0</c:v>
                </c:pt>
                <c:pt idx="1">
                  <c:v>0</c:v>
                </c:pt>
              </c:numCache>
            </c:numRef>
          </c:xVal>
          <c:yVal>
            <c:numRef>
              <c:f>'Dose-Response Worksheet 3'!$K$37:$K$38</c:f>
              <c:numCache>
                <c:formatCode>0.000</c:formatCode>
                <c:ptCount val="2"/>
                <c:pt idx="0">
                  <c:v>0</c:v>
                </c:pt>
                <c:pt idx="1">
                  <c:v>0</c:v>
                </c:pt>
              </c:numCache>
            </c:numRef>
          </c:yVal>
          <c:smooth val="0"/>
          <c:extLst>
            <c:ext xmlns:c16="http://schemas.microsoft.com/office/drawing/2014/chart" uri="{C3380CC4-5D6E-409C-BE32-E72D297353CC}">
              <c16:uniqueId val="{00000003-3F65-4790-9321-2533B2EE256E}"/>
            </c:ext>
          </c:extLst>
        </c:ser>
        <c:ser>
          <c:idx val="5"/>
          <c:order val="5"/>
          <c:tx>
            <c:v>-%Dmax line</c:v>
          </c:tx>
          <c:xVal>
            <c:numRef>
              <c:f>'Dose-Response Worksheet 3'!$L$35:$L$36</c:f>
              <c:numCache>
                <c:formatCode>0.000</c:formatCode>
                <c:ptCount val="2"/>
                <c:pt idx="0">
                  <c:v>0</c:v>
                </c:pt>
                <c:pt idx="1">
                  <c:v>0</c:v>
                </c:pt>
              </c:numCache>
            </c:numRef>
          </c:xVal>
          <c:yVal>
            <c:numRef>
              <c:f>'Dose-Response Worksheet 3'!$L$37:$L$38</c:f>
              <c:numCache>
                <c:formatCode>0.000</c:formatCode>
                <c:ptCount val="2"/>
                <c:pt idx="0">
                  <c:v>0</c:v>
                </c:pt>
                <c:pt idx="1">
                  <c:v>0</c:v>
                </c:pt>
              </c:numCache>
            </c:numRef>
          </c:yVal>
          <c:smooth val="0"/>
          <c:extLst>
            <c:ext xmlns:c16="http://schemas.microsoft.com/office/drawing/2014/chart" uri="{C3380CC4-5D6E-409C-BE32-E72D297353CC}">
              <c16:uniqueId val="{00000004-3F65-4790-9321-2533B2EE256E}"/>
            </c:ext>
          </c:extLst>
        </c:ser>
        <c:dLbls>
          <c:showLegendKey val="0"/>
          <c:showVal val="0"/>
          <c:showCatName val="0"/>
          <c:showSerName val="0"/>
          <c:showPercent val="0"/>
          <c:showBubbleSize val="0"/>
        </c:dLbls>
        <c:axId val="303710008"/>
        <c:axId val="303712752"/>
      </c:scatterChart>
      <c:scatterChart>
        <c:scatterStyle val="lineMarker"/>
        <c:varyColors val="0"/>
        <c:ser>
          <c:idx val="1"/>
          <c:order val="0"/>
          <c:tx>
            <c:v>Means</c:v>
          </c:tx>
          <c:spPr>
            <a:ln w="19050">
              <a:solidFill>
                <a:schemeClr val="tx1"/>
              </a:solidFill>
            </a:ln>
          </c:spPr>
          <c:marker>
            <c:spPr>
              <a:solidFill>
                <a:schemeClr val="tx1"/>
              </a:solidFill>
              <a:ln w="28575">
                <a:solidFill>
                  <a:schemeClr val="tx1"/>
                </a:solidFill>
              </a:ln>
            </c:spPr>
          </c:marker>
          <c:xVal>
            <c:numRef>
              <c:f>'Dose-Response Worksheet 3'!$B$14:$B$18</c:f>
              <c:numCache>
                <c:formatCode>General</c:formatCode>
                <c:ptCount val="5"/>
                <c:pt idx="1">
                  <c:v>0</c:v>
                </c:pt>
                <c:pt idx="2">
                  <c:v>0</c:v>
                </c:pt>
                <c:pt idx="3">
                  <c:v>0</c:v>
                </c:pt>
              </c:numCache>
            </c:numRef>
          </c:xVal>
          <c:yVal>
            <c:numRef>
              <c:f>'Dose-Response Worksheet 3'!$H$14:$H$18</c:f>
              <c:numCache>
                <c:formatCode>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5-3F65-4790-9321-2533B2EE256E}"/>
            </c:ext>
          </c:extLst>
        </c:ser>
        <c:dLbls>
          <c:showLegendKey val="0"/>
          <c:showVal val="0"/>
          <c:showCatName val="0"/>
          <c:showSerName val="0"/>
          <c:showPercent val="0"/>
          <c:showBubbleSize val="0"/>
        </c:dLbls>
        <c:axId val="832742760"/>
        <c:axId val="832728328"/>
      </c:scatterChart>
      <c:valAx>
        <c:axId val="303710008"/>
        <c:scaling>
          <c:orientation val="minMax"/>
        </c:scaling>
        <c:delete val="0"/>
        <c:axPos val="b"/>
        <c:majorGridlines/>
        <c:minorGridlines/>
        <c:title>
          <c:tx>
            <c:rich>
              <a:bodyPr/>
              <a:lstStyle/>
              <a:p>
                <a:pPr>
                  <a:defRPr/>
                </a:pPr>
                <a:r>
                  <a:rPr lang="en-US"/>
                  <a:t>Interference</a:t>
                </a:r>
                <a:r>
                  <a:rPr lang="en-US" baseline="0"/>
                  <a:t> Level</a:t>
                </a:r>
                <a:endParaRPr lang="en-US"/>
              </a:p>
            </c:rich>
          </c:tx>
          <c:layout>
            <c:manualLayout>
              <c:xMode val="edge"/>
              <c:yMode val="edge"/>
              <c:x val="0.42643571160577487"/>
              <c:y val="0.92927133962203545"/>
            </c:manualLayout>
          </c:layout>
          <c:overlay val="0"/>
        </c:title>
        <c:numFmt formatCode="0.000" sourceLinked="1"/>
        <c:majorTickMark val="out"/>
        <c:minorTickMark val="none"/>
        <c:tickLblPos val="nextTo"/>
        <c:crossAx val="303712752"/>
        <c:crosses val="autoZero"/>
        <c:crossBetween val="midCat"/>
      </c:valAx>
      <c:valAx>
        <c:axId val="303712752"/>
        <c:scaling>
          <c:orientation val="minMax"/>
        </c:scaling>
        <c:delete val="0"/>
        <c:axPos val="l"/>
        <c:majorGridlines/>
        <c:minorGridlines/>
        <c:title>
          <c:tx>
            <c:rich>
              <a:bodyPr/>
              <a:lstStyle/>
              <a:p>
                <a:pPr>
                  <a:defRPr/>
                </a:pPr>
                <a:r>
                  <a:rPr lang="en-US"/>
                  <a:t>Analyte Concentration </a:t>
                </a:r>
              </a:p>
            </c:rich>
          </c:tx>
          <c:layout>
            <c:manualLayout>
              <c:xMode val="edge"/>
              <c:yMode val="edge"/>
              <c:x val="1.7164925840133893E-3"/>
              <c:y val="0.26025596991928091"/>
            </c:manualLayout>
          </c:layout>
          <c:overlay val="0"/>
        </c:title>
        <c:numFmt formatCode="0" sourceLinked="0"/>
        <c:majorTickMark val="out"/>
        <c:minorTickMark val="none"/>
        <c:tickLblPos val="nextTo"/>
        <c:crossAx val="303710008"/>
        <c:crosses val="autoZero"/>
        <c:crossBetween val="midCat"/>
      </c:valAx>
      <c:valAx>
        <c:axId val="832728328"/>
        <c:scaling>
          <c:orientation val="minMax"/>
        </c:scaling>
        <c:delete val="1"/>
        <c:axPos val="r"/>
        <c:numFmt formatCode="0.0" sourceLinked="1"/>
        <c:majorTickMark val="out"/>
        <c:minorTickMark val="none"/>
        <c:tickLblPos val="nextTo"/>
        <c:crossAx val="832742760"/>
        <c:crosses val="max"/>
        <c:crossBetween val="midCat"/>
      </c:valAx>
      <c:valAx>
        <c:axId val="832742760"/>
        <c:scaling>
          <c:orientation val="minMax"/>
        </c:scaling>
        <c:delete val="1"/>
        <c:axPos val="b"/>
        <c:numFmt formatCode="General" sourceLinked="1"/>
        <c:majorTickMark val="out"/>
        <c:minorTickMark val="none"/>
        <c:tickLblPos val="nextTo"/>
        <c:crossAx val="832728328"/>
        <c:crosses val="autoZero"/>
        <c:crossBetween val="midCat"/>
      </c:valAx>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11</xdr:col>
      <xdr:colOff>0</xdr:colOff>
      <xdr:row>0</xdr:row>
      <xdr:rowOff>148167</xdr:rowOff>
    </xdr:from>
    <xdr:to>
      <xdr:col>11</xdr:col>
      <xdr:colOff>698501</xdr:colOff>
      <xdr:row>48</xdr:row>
      <xdr:rowOff>10583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958666" y="148167"/>
          <a:ext cx="698501" cy="7355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ctr"/>
        <a:lstStyle/>
        <a:p>
          <a:pPr algn="ctr"/>
          <a:r>
            <a:rPr lang="en-US" sz="2500" b="1">
              <a:solidFill>
                <a:srgbClr val="FF0000"/>
              </a:solidFill>
            </a:rPr>
            <a:t>INTERFERENCE SCREENING</a:t>
          </a:r>
        </a:p>
        <a:p>
          <a:pPr algn="ctr"/>
          <a:r>
            <a:rPr lang="en-US" sz="2500" b="1">
              <a:solidFill>
                <a:srgbClr val="FF0000"/>
              </a:solidFill>
            </a:rPr>
            <a:t>EXAMPLE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37290</xdr:colOff>
      <xdr:row>1</xdr:row>
      <xdr:rowOff>29633</xdr:rowOff>
    </xdr:from>
    <xdr:to>
      <xdr:col>14</xdr:col>
      <xdr:colOff>0</xdr:colOff>
      <xdr:row>56</xdr:row>
      <xdr:rowOff>105832</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2774331" y="188383"/>
          <a:ext cx="1264461" cy="7548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ctr"/>
        <a:lstStyle/>
        <a:p>
          <a:pPr algn="ctr"/>
          <a:r>
            <a:rPr lang="en-US" sz="2500" b="1">
              <a:solidFill>
                <a:srgbClr val="FF0000"/>
              </a:solidFill>
            </a:rPr>
            <a:t>INTERFERENCE DOSE RESPONSE </a:t>
          </a:r>
        </a:p>
        <a:p>
          <a:pPr algn="ctr"/>
          <a:r>
            <a:rPr lang="en-US" sz="2500" b="1">
              <a:solidFill>
                <a:srgbClr val="FF0000"/>
              </a:solidFill>
            </a:rPr>
            <a:t>EXAMPLE</a:t>
          </a:r>
        </a:p>
      </xdr:txBody>
    </xdr:sp>
    <xdr:clientData/>
  </xdr:twoCellAnchor>
  <xdr:twoCellAnchor>
    <xdr:from>
      <xdr:col>2</xdr:col>
      <xdr:colOff>126999</xdr:colOff>
      <xdr:row>17</xdr:row>
      <xdr:rowOff>82798</xdr:rowOff>
    </xdr:from>
    <xdr:to>
      <xdr:col>7</xdr:col>
      <xdr:colOff>920749</xdr:colOff>
      <xdr:row>35</xdr:row>
      <xdr:rowOff>142874</xdr:rowOff>
    </xdr:to>
    <xdr:graphicFrame macro="">
      <xdr:nvGraphicFramePr>
        <xdr:cNvPr id="4" name="Chart 3">
          <a:extLst>
            <a:ext uri="{FF2B5EF4-FFF2-40B4-BE49-F238E27FC236}">
              <a16:creationId xmlns:a16="http://schemas.microsoft.com/office/drawing/2014/main" id="{47E40450-4CFE-49E4-97F0-EA918CECFE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0</xdr:row>
      <xdr:rowOff>148167</xdr:rowOff>
    </xdr:from>
    <xdr:to>
      <xdr:col>11</xdr:col>
      <xdr:colOff>698501</xdr:colOff>
      <xdr:row>48</xdr:row>
      <xdr:rowOff>10583</xdr:rowOff>
    </xdr:to>
    <xdr:sp macro="" textlink="">
      <xdr:nvSpPr>
        <xdr:cNvPr id="4" name="TextBox 3">
          <a:extLst>
            <a:ext uri="{FF2B5EF4-FFF2-40B4-BE49-F238E27FC236}">
              <a16:creationId xmlns:a16="http://schemas.microsoft.com/office/drawing/2014/main" id="{977ECCC8-C869-43BF-8717-6E987AC3D988}"/>
            </a:ext>
          </a:extLst>
        </xdr:cNvPr>
        <xdr:cNvSpPr txBox="1"/>
      </xdr:nvSpPr>
      <xdr:spPr>
        <a:xfrm>
          <a:off x="7954433" y="148167"/>
          <a:ext cx="698501" cy="7609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ctr"/>
        <a:lstStyle/>
        <a:p>
          <a:pPr algn="ctr"/>
          <a:r>
            <a:rPr lang="en-US" sz="2500" b="1">
              <a:solidFill>
                <a:srgbClr val="FF0000"/>
              </a:solidFill>
            </a:rPr>
            <a:t>INTERFERENCE SCREENING</a:t>
          </a:r>
        </a:p>
        <a:p>
          <a:pPr algn="ctr"/>
          <a:r>
            <a:rPr lang="en-US" sz="2500" b="1">
              <a:solidFill>
                <a:srgbClr val="FF0000"/>
              </a:solidFill>
            </a:rPr>
            <a:t>EXAMPLE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0</xdr:row>
      <xdr:rowOff>148167</xdr:rowOff>
    </xdr:from>
    <xdr:to>
      <xdr:col>11</xdr:col>
      <xdr:colOff>698501</xdr:colOff>
      <xdr:row>48</xdr:row>
      <xdr:rowOff>10583</xdr:rowOff>
    </xdr:to>
    <xdr:sp macro="" textlink="">
      <xdr:nvSpPr>
        <xdr:cNvPr id="2" name="TextBox 1">
          <a:extLst>
            <a:ext uri="{FF2B5EF4-FFF2-40B4-BE49-F238E27FC236}">
              <a16:creationId xmlns:a16="http://schemas.microsoft.com/office/drawing/2014/main" id="{2FF9ACA4-39EC-4866-98BE-153BBEFD9FAA}"/>
            </a:ext>
          </a:extLst>
        </xdr:cNvPr>
        <xdr:cNvSpPr txBox="1"/>
      </xdr:nvSpPr>
      <xdr:spPr>
        <a:xfrm>
          <a:off x="7954433" y="148167"/>
          <a:ext cx="698501" cy="7609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ctr"/>
        <a:lstStyle/>
        <a:p>
          <a:pPr algn="ctr"/>
          <a:r>
            <a:rPr lang="en-US" sz="2500" b="1">
              <a:solidFill>
                <a:srgbClr val="FF0000"/>
              </a:solidFill>
            </a:rPr>
            <a:t>INTERFERENCE SCREENING</a:t>
          </a:r>
        </a:p>
        <a:p>
          <a:pPr algn="ctr"/>
          <a:r>
            <a:rPr lang="en-US" sz="2500" b="1">
              <a:solidFill>
                <a:srgbClr val="FF0000"/>
              </a:solidFill>
            </a:rPr>
            <a:t>EXAMPLE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0</xdr:row>
      <xdr:rowOff>148167</xdr:rowOff>
    </xdr:from>
    <xdr:to>
      <xdr:col>11</xdr:col>
      <xdr:colOff>698501</xdr:colOff>
      <xdr:row>48</xdr:row>
      <xdr:rowOff>10583</xdr:rowOff>
    </xdr:to>
    <xdr:sp macro="" textlink="">
      <xdr:nvSpPr>
        <xdr:cNvPr id="2" name="TextBox 1">
          <a:extLst>
            <a:ext uri="{FF2B5EF4-FFF2-40B4-BE49-F238E27FC236}">
              <a16:creationId xmlns:a16="http://schemas.microsoft.com/office/drawing/2014/main" id="{808FDC66-6F75-45F6-8FB3-28E5430372C8}"/>
            </a:ext>
          </a:extLst>
        </xdr:cNvPr>
        <xdr:cNvSpPr txBox="1"/>
      </xdr:nvSpPr>
      <xdr:spPr>
        <a:xfrm>
          <a:off x="7954433" y="148167"/>
          <a:ext cx="698501" cy="7609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ctr"/>
        <a:lstStyle/>
        <a:p>
          <a:pPr algn="ctr"/>
          <a:r>
            <a:rPr lang="en-US" sz="2500" b="1">
              <a:solidFill>
                <a:srgbClr val="FF0000"/>
              </a:solidFill>
            </a:rPr>
            <a:t>INTERFERENCE SCREENING</a:t>
          </a:r>
        </a:p>
        <a:p>
          <a:pPr algn="ctr"/>
          <a:r>
            <a:rPr lang="en-US" sz="2500" b="1">
              <a:solidFill>
                <a:srgbClr val="FF0000"/>
              </a:solidFill>
            </a:rPr>
            <a:t>EXAMPLE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126999</xdr:colOff>
      <xdr:row>17</xdr:row>
      <xdr:rowOff>82798</xdr:rowOff>
    </xdr:from>
    <xdr:to>
      <xdr:col>7</xdr:col>
      <xdr:colOff>920749</xdr:colOff>
      <xdr:row>35</xdr:row>
      <xdr:rowOff>142874</xdr:rowOff>
    </xdr:to>
    <xdr:graphicFrame macro="">
      <xdr:nvGraphicFramePr>
        <xdr:cNvPr id="3" name="Chart 2">
          <a:extLst>
            <a:ext uri="{FF2B5EF4-FFF2-40B4-BE49-F238E27FC236}">
              <a16:creationId xmlns:a16="http://schemas.microsoft.com/office/drawing/2014/main" id="{07A043B1-AA06-48F6-895B-8D7ABE809C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126999</xdr:colOff>
      <xdr:row>17</xdr:row>
      <xdr:rowOff>82798</xdr:rowOff>
    </xdr:from>
    <xdr:to>
      <xdr:col>7</xdr:col>
      <xdr:colOff>920749</xdr:colOff>
      <xdr:row>35</xdr:row>
      <xdr:rowOff>142874</xdr:rowOff>
    </xdr:to>
    <xdr:graphicFrame macro="">
      <xdr:nvGraphicFramePr>
        <xdr:cNvPr id="3" name="Chart 2">
          <a:extLst>
            <a:ext uri="{FF2B5EF4-FFF2-40B4-BE49-F238E27FC236}">
              <a16:creationId xmlns:a16="http://schemas.microsoft.com/office/drawing/2014/main" id="{ED4C3054-30E8-4737-877A-344FF3A75A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126999</xdr:colOff>
      <xdr:row>17</xdr:row>
      <xdr:rowOff>82798</xdr:rowOff>
    </xdr:from>
    <xdr:to>
      <xdr:col>7</xdr:col>
      <xdr:colOff>920749</xdr:colOff>
      <xdr:row>35</xdr:row>
      <xdr:rowOff>142874</xdr:rowOff>
    </xdr:to>
    <xdr:graphicFrame macro="">
      <xdr:nvGraphicFramePr>
        <xdr:cNvPr id="3" name="Chart 2">
          <a:extLst>
            <a:ext uri="{FF2B5EF4-FFF2-40B4-BE49-F238E27FC236}">
              <a16:creationId xmlns:a16="http://schemas.microsoft.com/office/drawing/2014/main" id="{CB2F2B06-6289-4274-BF94-7780593391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upport@sundiagnostics.us"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E298F-204B-4E05-B2DC-8D18823C7E2F}">
  <dimension ref="A1:A21"/>
  <sheetViews>
    <sheetView tabSelected="1" zoomScaleNormal="100" workbookViewId="0">
      <selection activeCell="A12" sqref="A12"/>
    </sheetView>
  </sheetViews>
  <sheetFormatPr defaultColWidth="8.87890625" defaultRowHeight="12.7" x14ac:dyDescent="0.4"/>
  <cols>
    <col min="1" max="1" width="89.3515625" style="199" customWidth="1"/>
    <col min="2" max="16384" width="8.87890625" style="199"/>
  </cols>
  <sheetData>
    <row r="1" spans="1:1" ht="19.7" customHeight="1" x14ac:dyDescent="0.4">
      <c r="A1" s="275" t="s">
        <v>253</v>
      </c>
    </row>
    <row r="2" spans="1:1" ht="13.7" x14ac:dyDescent="0.4">
      <c r="A2" s="276"/>
    </row>
    <row r="3" spans="1:1" ht="27.35" x14ac:dyDescent="0.4">
      <c r="A3" s="276" t="s">
        <v>254</v>
      </c>
    </row>
    <row r="4" spans="1:1" ht="13.7" x14ac:dyDescent="0.4">
      <c r="A4" s="276"/>
    </row>
    <row r="5" spans="1:1" ht="86.45" customHeight="1" x14ac:dyDescent="0.4">
      <c r="A5" s="278" t="s">
        <v>255</v>
      </c>
    </row>
    <row r="6" spans="1:1" ht="69.45" customHeight="1" x14ac:dyDescent="0.4">
      <c r="A6" s="278" t="s">
        <v>256</v>
      </c>
    </row>
    <row r="7" spans="1:1" ht="14" x14ac:dyDescent="0.4">
      <c r="A7" s="279" t="s">
        <v>257</v>
      </c>
    </row>
    <row r="8" spans="1:1" ht="13.7" x14ac:dyDescent="0.4">
      <c r="A8" s="280"/>
    </row>
    <row r="9" spans="1:1" ht="85.1" customHeight="1" x14ac:dyDescent="0.4">
      <c r="A9" s="280" t="s">
        <v>258</v>
      </c>
    </row>
    <row r="10" spans="1:1" ht="13.7" x14ac:dyDescent="0.4">
      <c r="A10" s="280" t="s">
        <v>259</v>
      </c>
    </row>
    <row r="11" spans="1:1" ht="13.7" x14ac:dyDescent="0.4">
      <c r="A11" s="280"/>
    </row>
    <row r="12" spans="1:1" ht="47.7" customHeight="1" x14ac:dyDescent="0.4">
      <c r="A12" s="280" t="s">
        <v>260</v>
      </c>
    </row>
    <row r="13" spans="1:1" ht="54.7" x14ac:dyDescent="0.4">
      <c r="A13" s="280" t="s">
        <v>261</v>
      </c>
    </row>
    <row r="14" spans="1:1" ht="73.349999999999994" customHeight="1" x14ac:dyDescent="0.4">
      <c r="A14" s="280" t="s">
        <v>262</v>
      </c>
    </row>
    <row r="15" spans="1:1" ht="58.35" customHeight="1" x14ac:dyDescent="0.4">
      <c r="A15" s="280" t="s">
        <v>263</v>
      </c>
    </row>
    <row r="16" spans="1:1" ht="64.099999999999994" customHeight="1" x14ac:dyDescent="0.4">
      <c r="A16" s="280" t="s">
        <v>264</v>
      </c>
    </row>
    <row r="17" spans="1:1" ht="27.35" x14ac:dyDescent="0.4">
      <c r="A17" s="280" t="s">
        <v>265</v>
      </c>
    </row>
    <row r="18" spans="1:1" x14ac:dyDescent="0.4">
      <c r="A18" s="281"/>
    </row>
    <row r="19" spans="1:1" ht="39.450000000000003" customHeight="1" x14ac:dyDescent="0.4">
      <c r="A19" s="277" t="s">
        <v>266</v>
      </c>
    </row>
    <row r="20" spans="1:1" ht="39.450000000000003" customHeight="1" x14ac:dyDescent="0.4">
      <c r="A20" s="282" t="s">
        <v>267</v>
      </c>
    </row>
    <row r="21" spans="1:1" ht="39.450000000000003" customHeight="1" x14ac:dyDescent="0.4">
      <c r="A21" s="282" t="s">
        <v>268</v>
      </c>
    </row>
  </sheetData>
  <hyperlinks>
    <hyperlink ref="A19" r:id="rId1" display="mailto:support@sundiagnostics.us" xr:uid="{7B0211C3-92B2-4C33-94DF-2BE39C5220F6}"/>
  </hyperlinks>
  <pageMargins left="0.7" right="0.7" top="0.75" bottom="0.75" header="0.3" footer="0.3"/>
  <pageSetup scale="86" orientation="portrait" r:id="rId2"/>
  <headerFooter>
    <oddHeader>&amp;C&amp;G</oddHeader>
    <oddFooter xml:space="preserve">&amp;RSunDx INTWKSHT20191021
</oddFoot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5448D-6A00-44D7-BE7E-276B94E681C2}">
  <sheetPr codeName="Sheet10"/>
  <dimension ref="A1:FG112"/>
  <sheetViews>
    <sheetView topLeftCell="A3" zoomScale="80" zoomScaleNormal="80" workbookViewId="0">
      <selection activeCell="C3" sqref="C3:D3"/>
    </sheetView>
  </sheetViews>
  <sheetFormatPr defaultColWidth="9.1171875" defaultRowHeight="12.7" x14ac:dyDescent="0.4"/>
  <cols>
    <col min="1" max="1" width="19.64453125" style="252" customWidth="1"/>
    <col min="2" max="2" width="19.234375" style="252" customWidth="1"/>
    <col min="3" max="3" width="14.52734375" style="252" customWidth="1"/>
    <col min="4" max="4" width="14.1171875" style="252" customWidth="1"/>
    <col min="5" max="5" width="17.87890625" style="252" customWidth="1"/>
    <col min="6" max="6" width="17.64453125" style="252" customWidth="1"/>
    <col min="7" max="7" width="13.41015625" style="252" customWidth="1"/>
    <col min="8" max="8" width="13.64453125" style="252" customWidth="1"/>
    <col min="9" max="9" width="9.87890625" style="252" customWidth="1"/>
    <col min="10" max="10" width="12.64453125" style="252" customWidth="1"/>
    <col min="11" max="11" width="11.41015625" style="252" customWidth="1"/>
    <col min="12" max="12" width="12.64453125" style="252" customWidth="1"/>
    <col min="13" max="13" width="3.234375" style="252" customWidth="1"/>
    <col min="14" max="14" width="14.87890625" style="67" customWidth="1"/>
    <col min="15" max="15" width="14.234375" style="67" customWidth="1"/>
    <col min="16" max="16" width="14.41015625" style="67" customWidth="1"/>
    <col min="17" max="17" width="14" style="67" customWidth="1"/>
    <col min="18" max="18" width="14.87890625" style="67" customWidth="1"/>
    <col min="19" max="19" width="13.87890625" style="67" customWidth="1"/>
    <col min="20" max="20" width="14.87890625" style="67" customWidth="1"/>
    <col min="21" max="21" width="9.1171875" style="67"/>
    <col min="22" max="24" width="12.52734375" style="67" customWidth="1"/>
    <col min="25" max="25" width="4.234375" style="67" customWidth="1"/>
    <col min="26" max="26" width="14.234375" style="67" customWidth="1"/>
    <col min="27" max="27" width="19.41015625" style="67" customWidth="1"/>
    <col min="28" max="28" width="14.64453125" style="67" customWidth="1"/>
    <col min="29" max="29" width="13.87890625" style="67" customWidth="1"/>
    <col min="30" max="31" width="14.41015625" style="67" customWidth="1"/>
    <col min="32" max="32" width="13.64453125" style="67" customWidth="1"/>
    <col min="33" max="33" width="14.234375" style="67" customWidth="1"/>
    <col min="34" max="34" width="9.234375" style="67" bestFit="1" customWidth="1"/>
    <col min="35" max="35" width="12.87890625" style="67" customWidth="1"/>
    <col min="36" max="38" width="9.234375" style="67" bestFit="1" customWidth="1"/>
    <col min="39" max="39" width="9.1171875" style="67"/>
    <col min="40" max="40" width="9.234375" style="67" bestFit="1" customWidth="1"/>
    <col min="41" max="41" width="9.1171875" style="67"/>
    <col min="42" max="42" width="9.234375" style="67" bestFit="1" customWidth="1"/>
    <col min="43" max="43" width="10.52734375" style="67" bestFit="1" customWidth="1"/>
    <col min="44" max="46" width="9.234375" style="67" bestFit="1" customWidth="1"/>
    <col min="47" max="89" width="9.1171875" style="67"/>
    <col min="90" max="16384" width="9.1171875" style="252"/>
  </cols>
  <sheetData>
    <row r="1" spans="1:91" x14ac:dyDescent="0.4">
      <c r="B1" s="64" t="s">
        <v>105</v>
      </c>
      <c r="F1" s="64" t="s">
        <v>160</v>
      </c>
      <c r="R1" s="109"/>
      <c r="AA1" s="109"/>
      <c r="AE1" s="109"/>
      <c r="CH1" s="74"/>
      <c r="CK1" s="252"/>
    </row>
    <row r="2" spans="1:91" x14ac:dyDescent="0.4">
      <c r="A2" s="64" t="s">
        <v>247</v>
      </c>
      <c r="N2" s="109"/>
      <c r="Z2" s="109"/>
      <c r="CK2" s="74"/>
      <c r="CL2" s="67"/>
      <c r="CM2" s="67"/>
    </row>
    <row r="3" spans="1:91" x14ac:dyDescent="0.4">
      <c r="B3" s="144" t="s">
        <v>5</v>
      </c>
      <c r="C3" s="341"/>
      <c r="D3" s="327"/>
      <c r="F3" s="342" t="s">
        <v>204</v>
      </c>
      <c r="G3" s="343"/>
      <c r="H3" s="344"/>
      <c r="I3" s="315"/>
      <c r="J3" s="316"/>
      <c r="K3" s="258"/>
      <c r="L3" s="258"/>
      <c r="O3" s="352"/>
      <c r="P3" s="347"/>
      <c r="R3" s="349"/>
      <c r="S3" s="350"/>
      <c r="T3" s="350"/>
      <c r="U3" s="346"/>
      <c r="V3" s="347"/>
      <c r="W3" s="258"/>
      <c r="X3" s="258"/>
      <c r="AA3" s="260"/>
      <c r="AB3" s="352"/>
      <c r="AC3" s="347"/>
      <c r="AE3" s="349"/>
      <c r="AF3" s="350"/>
      <c r="AG3" s="350"/>
      <c r="AH3" s="346"/>
      <c r="AI3" s="347"/>
      <c r="CH3" s="252"/>
      <c r="CI3" s="252"/>
      <c r="CJ3" s="252"/>
      <c r="CK3" s="252"/>
    </row>
    <row r="4" spans="1:91" x14ac:dyDescent="0.4">
      <c r="B4" s="134" t="s">
        <v>37</v>
      </c>
      <c r="C4" s="345"/>
      <c r="D4" s="327"/>
      <c r="F4" s="342" t="s">
        <v>68</v>
      </c>
      <c r="G4" s="343"/>
      <c r="H4" s="344"/>
      <c r="I4" s="348"/>
      <c r="J4" s="316"/>
      <c r="K4" s="258"/>
      <c r="L4" s="258"/>
      <c r="M4" s="62"/>
      <c r="O4" s="346"/>
      <c r="P4" s="347"/>
      <c r="R4" s="349"/>
      <c r="S4" s="350"/>
      <c r="T4" s="350"/>
      <c r="U4" s="351"/>
      <c r="V4" s="347"/>
      <c r="W4" s="258"/>
      <c r="X4" s="258"/>
      <c r="AA4" s="259"/>
      <c r="AB4" s="346"/>
      <c r="AC4" s="347"/>
      <c r="AE4" s="349"/>
      <c r="AF4" s="350"/>
      <c r="AG4" s="350"/>
      <c r="AH4" s="351"/>
      <c r="AI4" s="347"/>
      <c r="CE4" s="74"/>
      <c r="CH4" s="252"/>
      <c r="CI4" s="252"/>
      <c r="CJ4" s="252"/>
      <c r="CK4" s="252"/>
    </row>
    <row r="5" spans="1:91" x14ac:dyDescent="0.4">
      <c r="B5" s="134" t="s">
        <v>31</v>
      </c>
      <c r="C5" s="326"/>
      <c r="D5" s="327"/>
      <c r="F5" s="338" t="s">
        <v>235</v>
      </c>
      <c r="G5" s="339"/>
      <c r="H5" s="339"/>
      <c r="I5" s="358"/>
      <c r="J5" s="358"/>
      <c r="K5" s="261">
        <f>C5</f>
        <v>0</v>
      </c>
      <c r="L5" s="261"/>
      <c r="M5" s="62"/>
      <c r="O5" s="351"/>
      <c r="P5" s="347"/>
      <c r="R5" s="355"/>
      <c r="S5" s="356"/>
      <c r="T5" s="356"/>
      <c r="U5" s="353"/>
      <c r="V5" s="353"/>
      <c r="W5" s="261"/>
      <c r="X5" s="261"/>
      <c r="AA5" s="259"/>
      <c r="AB5" s="351"/>
      <c r="AC5" s="347"/>
      <c r="AE5" s="355"/>
      <c r="AF5" s="356"/>
      <c r="AG5" s="356"/>
      <c r="AH5" s="353"/>
      <c r="AI5" s="353"/>
      <c r="CE5" s="74"/>
      <c r="CH5" s="252"/>
      <c r="CI5" s="252"/>
      <c r="CJ5" s="252"/>
      <c r="CK5" s="252"/>
    </row>
    <row r="6" spans="1:91" x14ac:dyDescent="0.4">
      <c r="B6" s="134" t="s">
        <v>38</v>
      </c>
      <c r="C6" s="326"/>
      <c r="D6" s="327"/>
      <c r="F6" s="338" t="s">
        <v>161</v>
      </c>
      <c r="G6" s="339"/>
      <c r="H6" s="339"/>
      <c r="I6" s="354"/>
      <c r="J6" s="354"/>
      <c r="K6" s="204" t="s">
        <v>205</v>
      </c>
      <c r="L6" s="263"/>
      <c r="O6" s="351"/>
      <c r="P6" s="347"/>
      <c r="R6" s="355"/>
      <c r="S6" s="356"/>
      <c r="T6" s="356"/>
      <c r="U6" s="357"/>
      <c r="V6" s="357"/>
      <c r="W6" s="263"/>
      <c r="X6" s="263"/>
      <c r="AA6" s="259"/>
      <c r="AB6" s="351"/>
      <c r="AC6" s="347"/>
      <c r="AE6" s="355"/>
      <c r="AF6" s="356"/>
      <c r="AG6" s="356"/>
      <c r="AH6" s="357"/>
      <c r="AI6" s="357"/>
      <c r="CI6" s="252"/>
      <c r="CJ6" s="252"/>
      <c r="CK6" s="252"/>
    </row>
    <row r="7" spans="1:91" x14ac:dyDescent="0.4">
      <c r="B7" s="134" t="s">
        <v>39</v>
      </c>
      <c r="C7" s="340"/>
      <c r="D7" s="327"/>
      <c r="J7" s="70"/>
      <c r="K7" s="70"/>
      <c r="L7" s="70"/>
      <c r="O7" s="359"/>
      <c r="P7" s="347"/>
      <c r="V7" s="259"/>
      <c r="W7" s="259"/>
      <c r="X7" s="259"/>
      <c r="AA7" s="259"/>
      <c r="AB7" s="359"/>
      <c r="AC7" s="347"/>
      <c r="AI7" s="259"/>
      <c r="CG7" s="252"/>
      <c r="CH7" s="252"/>
      <c r="CI7" s="252"/>
      <c r="CJ7" s="252"/>
      <c r="CK7" s="252"/>
    </row>
    <row r="8" spans="1:91" x14ac:dyDescent="0.4">
      <c r="B8" s="134" t="s">
        <v>40</v>
      </c>
      <c r="C8" s="340"/>
      <c r="D8" s="327"/>
      <c r="J8" s="70"/>
      <c r="K8" s="70"/>
      <c r="L8" s="70"/>
      <c r="M8" s="64"/>
      <c r="O8" s="359"/>
      <c r="P8" s="347"/>
      <c r="V8" s="259"/>
      <c r="W8" s="259"/>
      <c r="X8" s="259"/>
      <c r="AA8" s="259"/>
      <c r="AB8" s="359"/>
      <c r="AC8" s="347"/>
      <c r="AI8" s="259"/>
      <c r="CG8" s="252"/>
      <c r="CH8" s="252"/>
      <c r="CI8" s="252"/>
      <c r="CJ8" s="252"/>
      <c r="CK8" s="252"/>
    </row>
    <row r="9" spans="1:91" x14ac:dyDescent="0.4">
      <c r="B9" s="134" t="s">
        <v>30</v>
      </c>
      <c r="C9" s="326"/>
      <c r="D9" s="327"/>
      <c r="J9" s="70"/>
      <c r="K9" s="70"/>
      <c r="L9" s="70"/>
      <c r="M9" s="64"/>
      <c r="O9" s="351"/>
      <c r="P9" s="347"/>
      <c r="V9" s="259"/>
      <c r="W9" s="259"/>
      <c r="X9" s="259"/>
      <c r="AA9" s="259"/>
      <c r="AB9" s="351"/>
      <c r="AC9" s="347"/>
      <c r="AI9" s="259"/>
      <c r="CG9" s="252"/>
      <c r="CH9" s="252"/>
      <c r="CI9" s="252"/>
      <c r="CJ9" s="252"/>
      <c r="CK9" s="252"/>
    </row>
    <row r="10" spans="1:91" x14ac:dyDescent="0.4">
      <c r="F10" s="70"/>
      <c r="G10" s="65"/>
      <c r="H10" s="259"/>
      <c r="I10" s="260"/>
      <c r="J10" s="62"/>
      <c r="K10" s="62"/>
      <c r="L10" s="62"/>
      <c r="R10" s="259"/>
      <c r="S10" s="260"/>
      <c r="T10" s="259"/>
      <c r="U10" s="260"/>
      <c r="V10" s="74"/>
      <c r="W10" s="74"/>
      <c r="X10" s="74"/>
      <c r="AE10" s="259"/>
      <c r="AF10" s="260"/>
      <c r="AG10" s="259"/>
      <c r="AH10" s="260"/>
      <c r="AI10" s="74"/>
      <c r="CH10" s="252"/>
      <c r="CI10" s="252"/>
      <c r="CJ10" s="252"/>
      <c r="CK10" s="252"/>
    </row>
    <row r="11" spans="1:91" x14ac:dyDescent="0.4">
      <c r="A11" s="251" t="s">
        <v>162</v>
      </c>
      <c r="F11" s="70"/>
      <c r="G11" s="65"/>
      <c r="H11" s="259"/>
      <c r="I11" s="260"/>
      <c r="J11" s="62"/>
      <c r="K11" s="62"/>
      <c r="L11" s="62"/>
      <c r="R11" s="259"/>
      <c r="S11" s="260"/>
      <c r="T11" s="259"/>
      <c r="U11" s="260"/>
      <c r="V11" s="74"/>
      <c r="W11" s="74"/>
      <c r="X11" s="74"/>
      <c r="AE11" s="259"/>
      <c r="AF11" s="260"/>
      <c r="AG11" s="259"/>
      <c r="AH11" s="260"/>
      <c r="AI11" s="74"/>
      <c r="CH11" s="252"/>
      <c r="CI11" s="252"/>
      <c r="CJ11" s="252"/>
      <c r="CK11" s="252"/>
    </row>
    <row r="12" spans="1:91" x14ac:dyDescent="0.4">
      <c r="A12" s="153" t="s">
        <v>80</v>
      </c>
      <c r="B12" s="76" t="s">
        <v>80</v>
      </c>
      <c r="C12" s="135" t="s">
        <v>85</v>
      </c>
      <c r="D12" s="135" t="s">
        <v>86</v>
      </c>
      <c r="E12" s="135" t="s">
        <v>87</v>
      </c>
      <c r="F12" s="135" t="s">
        <v>88</v>
      </c>
      <c r="G12" s="135" t="s">
        <v>89</v>
      </c>
      <c r="H12" s="135" t="s">
        <v>1</v>
      </c>
      <c r="I12" s="153" t="s">
        <v>122</v>
      </c>
      <c r="J12" s="135" t="s">
        <v>122</v>
      </c>
      <c r="K12" s="153" t="s">
        <v>123</v>
      </c>
      <c r="L12" s="135" t="s">
        <v>123</v>
      </c>
      <c r="N12" s="109"/>
      <c r="P12" s="82"/>
      <c r="Q12" s="82"/>
      <c r="R12" s="82"/>
      <c r="S12" s="82"/>
      <c r="T12" s="82"/>
      <c r="U12" s="82"/>
      <c r="V12" s="82"/>
      <c r="W12" s="82"/>
      <c r="X12" s="82"/>
      <c r="Z12" s="109"/>
      <c r="AA12" s="82"/>
      <c r="AB12" s="82"/>
      <c r="AC12" s="82"/>
      <c r="AD12" s="82"/>
      <c r="AE12" s="82"/>
      <c r="AF12" s="82"/>
      <c r="AG12" s="82"/>
      <c r="AH12" s="82"/>
      <c r="AI12" s="82"/>
      <c r="AJ12" s="82"/>
      <c r="AK12" s="82"/>
      <c r="CH12" s="252"/>
      <c r="CI12" s="252"/>
      <c r="CJ12" s="252"/>
      <c r="CK12" s="252"/>
    </row>
    <row r="13" spans="1:91" x14ac:dyDescent="0.4">
      <c r="A13" s="153" t="s">
        <v>82</v>
      </c>
      <c r="B13" s="77" t="s">
        <v>81</v>
      </c>
      <c r="C13" s="135" t="s">
        <v>81</v>
      </c>
      <c r="D13" s="135" t="s">
        <v>81</v>
      </c>
      <c r="E13" s="135" t="s">
        <v>81</v>
      </c>
      <c r="F13" s="135" t="s">
        <v>81</v>
      </c>
      <c r="G13" s="135" t="s">
        <v>81</v>
      </c>
      <c r="H13" s="135" t="s">
        <v>81</v>
      </c>
      <c r="I13" s="153" t="s">
        <v>152</v>
      </c>
      <c r="J13" s="135" t="s">
        <v>206</v>
      </c>
      <c r="K13" s="153" t="s">
        <v>152</v>
      </c>
      <c r="L13" s="135" t="s">
        <v>206</v>
      </c>
      <c r="N13" s="109"/>
      <c r="P13" s="82"/>
      <c r="Q13" s="82"/>
      <c r="R13" s="82"/>
      <c r="S13" s="82"/>
      <c r="T13" s="82"/>
      <c r="U13" s="82"/>
      <c r="V13" s="82"/>
      <c r="W13" s="82"/>
      <c r="X13" s="82"/>
      <c r="Z13" s="109"/>
      <c r="AA13" s="82"/>
      <c r="AB13" s="82"/>
      <c r="AC13" s="82"/>
      <c r="AD13" s="82"/>
      <c r="AE13" s="82"/>
      <c r="AF13" s="82"/>
      <c r="AG13" s="82"/>
      <c r="AH13" s="82"/>
      <c r="AI13" s="82"/>
      <c r="AJ13" s="82"/>
      <c r="AK13" s="82"/>
      <c r="CH13" s="252"/>
      <c r="CI13" s="252"/>
      <c r="CJ13" s="252"/>
      <c r="CK13" s="252"/>
    </row>
    <row r="14" spans="1:91" x14ac:dyDescent="0.4">
      <c r="A14" s="145">
        <v>1</v>
      </c>
      <c r="B14" s="257"/>
      <c r="C14" s="104"/>
      <c r="D14" s="104"/>
      <c r="E14" s="104"/>
      <c r="F14" s="104"/>
      <c r="G14" s="104"/>
      <c r="H14" s="78" t="str">
        <f>IF($C$14="","",AVERAGE($C$14:$G$14))</f>
        <v/>
      </c>
      <c r="I14" s="152" t="str">
        <f>IF($I$5&lt;&gt;"",($H$14-$H$14),"")</f>
        <v/>
      </c>
      <c r="J14" s="135" t="s">
        <v>207</v>
      </c>
      <c r="K14" s="79" t="str">
        <f>IF(I6="","",0%)</f>
        <v/>
      </c>
      <c r="L14" s="135" t="s">
        <v>207</v>
      </c>
      <c r="N14" s="124"/>
      <c r="P14" s="125"/>
      <c r="Q14" s="125"/>
      <c r="R14" s="125"/>
      <c r="S14" s="125"/>
      <c r="T14" s="81"/>
      <c r="U14" s="86"/>
      <c r="V14" s="82"/>
      <c r="W14" s="85"/>
      <c r="X14" s="82"/>
      <c r="Z14" s="124"/>
      <c r="AA14" s="82"/>
      <c r="AB14" s="125"/>
      <c r="AC14" s="125"/>
      <c r="AD14" s="125"/>
      <c r="AE14" s="125"/>
      <c r="AF14" s="125"/>
      <c r="AG14" s="81"/>
      <c r="AH14" s="86"/>
      <c r="AI14" s="82"/>
      <c r="AJ14" s="85"/>
      <c r="AK14" s="82"/>
      <c r="CH14" s="252"/>
      <c r="CI14" s="252"/>
      <c r="CJ14" s="252"/>
      <c r="CK14" s="252"/>
    </row>
    <row r="15" spans="1:91" x14ac:dyDescent="0.4">
      <c r="A15" s="144">
        <v>2</v>
      </c>
      <c r="B15" s="153">
        <f>($B$16+$B$14)/2</f>
        <v>0</v>
      </c>
      <c r="C15" s="104"/>
      <c r="D15" s="104"/>
      <c r="E15" s="104"/>
      <c r="F15" s="104"/>
      <c r="G15" s="104"/>
      <c r="H15" s="78" t="str">
        <f>IF($C$15="","",AVERAGE($C$15:$G$15))</f>
        <v/>
      </c>
      <c r="I15" s="152" t="str">
        <f>IF($I$5&lt;&gt;"",($H$15-$H$14),"")</f>
        <v/>
      </c>
      <c r="J15" s="153" t="str">
        <f>IF($I$5="","",IF(ABS($I$15)&lt;$I$5,"NO","YES"))</f>
        <v/>
      </c>
      <c r="K15" s="79" t="str">
        <f>IF($I$6="","",($H$15-$H$14)/$H$14)</f>
        <v/>
      </c>
      <c r="L15" s="153" t="str">
        <f>IF($I$6="","",IF(ABS($K$15)&lt;$I$6,"NO","YES"))</f>
        <v/>
      </c>
      <c r="P15" s="125"/>
      <c r="Q15" s="125"/>
      <c r="R15" s="125"/>
      <c r="S15" s="125"/>
      <c r="T15" s="81"/>
      <c r="U15" s="86"/>
      <c r="V15" s="82"/>
      <c r="W15" s="85"/>
      <c r="X15" s="82"/>
      <c r="AA15" s="82"/>
      <c r="AB15" s="125"/>
      <c r="AC15" s="125"/>
      <c r="AD15" s="125"/>
      <c r="AE15" s="125"/>
      <c r="AF15" s="125"/>
      <c r="AG15" s="81"/>
      <c r="AH15" s="86"/>
      <c r="AI15" s="82"/>
      <c r="AJ15" s="85"/>
      <c r="AK15" s="82"/>
      <c r="CH15" s="252"/>
      <c r="CI15" s="252"/>
      <c r="CJ15" s="252"/>
      <c r="CK15" s="252"/>
    </row>
    <row r="16" spans="1:91" x14ac:dyDescent="0.4">
      <c r="A16" s="144">
        <v>3</v>
      </c>
      <c r="B16" s="153">
        <f>($B$18+$B$14)/2</f>
        <v>0</v>
      </c>
      <c r="C16" s="104"/>
      <c r="D16" s="104"/>
      <c r="E16" s="104"/>
      <c r="F16" s="104"/>
      <c r="G16" s="104"/>
      <c r="H16" s="78" t="str">
        <f>IF($C$16="","",AVERAGE($C$16:$G$16))</f>
        <v/>
      </c>
      <c r="I16" s="152" t="str">
        <f>IF($I$5&lt;&gt;"",($H$16-$H$14),"")</f>
        <v/>
      </c>
      <c r="J16" s="153" t="str">
        <f>IF($I$5="","",IF(ABS($I$16)&lt;$I$5,"NO","YES"))</f>
        <v/>
      </c>
      <c r="K16" s="79" t="str">
        <f>IF($I$6="","",($H$16-$H$14)/$H$14)</f>
        <v/>
      </c>
      <c r="L16" s="153" t="str">
        <f>IF($I$6="","",IF(ABS($K$16)&lt;$I$6,"NO","YES"))</f>
        <v/>
      </c>
      <c r="P16" s="125"/>
      <c r="Q16" s="125"/>
      <c r="R16" s="125"/>
      <c r="S16" s="125"/>
      <c r="T16" s="81"/>
      <c r="U16" s="86"/>
      <c r="V16" s="82"/>
      <c r="W16" s="85"/>
      <c r="X16" s="82"/>
      <c r="AA16" s="82"/>
      <c r="AB16" s="125"/>
      <c r="AC16" s="125"/>
      <c r="AD16" s="125"/>
      <c r="AE16" s="125"/>
      <c r="AF16" s="125"/>
      <c r="AG16" s="81"/>
      <c r="AH16" s="86"/>
      <c r="AI16" s="82"/>
      <c r="AJ16" s="85"/>
      <c r="AK16" s="82"/>
      <c r="CH16" s="252"/>
      <c r="CI16" s="252"/>
      <c r="CJ16" s="252"/>
      <c r="CK16" s="252"/>
    </row>
    <row r="17" spans="1:101" x14ac:dyDescent="0.4">
      <c r="A17" s="144">
        <v>4</v>
      </c>
      <c r="B17" s="153">
        <f>($B$18+$B$16)/2</f>
        <v>0</v>
      </c>
      <c r="C17" s="104"/>
      <c r="D17" s="104"/>
      <c r="E17" s="104"/>
      <c r="F17" s="104"/>
      <c r="G17" s="104"/>
      <c r="H17" s="78" t="str">
        <f>IF($C$17="","",AVERAGE($C$17:$G$17))</f>
        <v/>
      </c>
      <c r="I17" s="152" t="str">
        <f>IF($I$5&lt;&gt;"",($H$17-$H$14),"")</f>
        <v/>
      </c>
      <c r="J17" s="153" t="str">
        <f>IF($I$5="","",IF(ABS($I$17)&lt;$I$5,"NO","YES"))</f>
        <v/>
      </c>
      <c r="K17" s="79" t="str">
        <f>IF($I$6="","",($H$17-$H$14)/$H$14)</f>
        <v/>
      </c>
      <c r="L17" s="153" t="str">
        <f>IF($I$6="","",IF(ABS($K$17)&lt;$I$6,"NO","YES"))</f>
        <v/>
      </c>
      <c r="O17" s="127"/>
      <c r="P17" s="125"/>
      <c r="Q17" s="125"/>
      <c r="R17" s="125"/>
      <c r="S17" s="125"/>
      <c r="T17" s="81"/>
      <c r="U17" s="86"/>
      <c r="V17" s="82"/>
      <c r="W17" s="85"/>
      <c r="X17" s="82"/>
      <c r="AA17" s="82"/>
      <c r="AB17" s="125"/>
      <c r="AC17" s="125"/>
      <c r="AD17" s="125"/>
      <c r="AE17" s="125"/>
      <c r="AF17" s="125"/>
      <c r="AG17" s="81"/>
      <c r="AH17" s="86"/>
      <c r="AI17" s="82"/>
      <c r="AJ17" s="85"/>
      <c r="AK17" s="82"/>
      <c r="CH17" s="252"/>
      <c r="CI17" s="252"/>
      <c r="CJ17" s="252"/>
      <c r="CK17" s="252"/>
    </row>
    <row r="18" spans="1:101" x14ac:dyDescent="0.4">
      <c r="A18" s="145">
        <v>5</v>
      </c>
      <c r="B18" s="123"/>
      <c r="C18" s="104"/>
      <c r="D18" s="104"/>
      <c r="E18" s="104"/>
      <c r="F18" s="104"/>
      <c r="G18" s="104"/>
      <c r="H18" s="78" t="str">
        <f>IF($C$18="","",AVERAGE($C$18:$G$18))</f>
        <v/>
      </c>
      <c r="I18" s="152" t="str">
        <f>IF($I$5&lt;&gt;"",($H$18-$H$14),"")</f>
        <v/>
      </c>
      <c r="J18" s="153" t="str">
        <f>IF($I$5="","",IF(ABS($I$18)&lt;$I$5,"NO","YES"))</f>
        <v/>
      </c>
      <c r="K18" s="79" t="str">
        <f>IF($I$6="","",($H$18-$H$14)/$H$14)</f>
        <v/>
      </c>
      <c r="L18" s="153" t="str">
        <f>IF($I$6="","",IF(ABS($K$18)&lt;$I$6,"NO","YES"))</f>
        <v/>
      </c>
      <c r="N18" s="124"/>
      <c r="O18" s="127"/>
      <c r="P18" s="125"/>
      <c r="Q18" s="125"/>
      <c r="R18" s="125"/>
      <c r="S18" s="125"/>
      <c r="T18" s="81"/>
      <c r="U18" s="86"/>
      <c r="V18" s="82"/>
      <c r="W18" s="85"/>
      <c r="X18" s="82"/>
      <c r="Z18" s="124"/>
      <c r="AA18" s="82"/>
      <c r="AB18" s="125"/>
      <c r="AC18" s="125"/>
      <c r="AD18" s="125"/>
      <c r="AE18" s="125"/>
      <c r="AF18" s="125"/>
      <c r="AG18" s="81"/>
      <c r="AH18" s="86"/>
      <c r="AI18" s="82"/>
      <c r="AJ18" s="85"/>
      <c r="AK18" s="82"/>
      <c r="CH18" s="252"/>
      <c r="CI18" s="252"/>
      <c r="CJ18" s="252"/>
      <c r="CK18" s="252"/>
    </row>
    <row r="19" spans="1:101" x14ac:dyDescent="0.4">
      <c r="B19" s="80"/>
      <c r="C19" s="81"/>
      <c r="D19" s="81"/>
      <c r="E19" s="81"/>
      <c r="F19" s="81"/>
      <c r="G19" s="81"/>
      <c r="H19" s="68"/>
      <c r="I19" s="69"/>
      <c r="J19" s="67"/>
      <c r="K19" s="67"/>
      <c r="L19" s="67"/>
      <c r="M19" s="260"/>
      <c r="P19" s="81"/>
      <c r="Q19" s="81"/>
      <c r="R19" s="81"/>
      <c r="S19" s="81"/>
      <c r="U19" s="260"/>
      <c r="Y19" s="260"/>
      <c r="AA19" s="82"/>
      <c r="AB19" s="81"/>
      <c r="AC19" s="81"/>
      <c r="AD19" s="81"/>
      <c r="AE19" s="81"/>
      <c r="AF19" s="81"/>
      <c r="AH19" s="260"/>
      <c r="AL19" s="82"/>
      <c r="AO19" s="260"/>
      <c r="BB19" s="82"/>
      <c r="BE19" s="260"/>
      <c r="CE19" s="252"/>
      <c r="CF19" s="252"/>
      <c r="CG19" s="252"/>
      <c r="CH19" s="252"/>
      <c r="CI19" s="252"/>
      <c r="CJ19" s="252"/>
      <c r="CK19" s="252"/>
    </row>
    <row r="20" spans="1:101" x14ac:dyDescent="0.4">
      <c r="A20" s="75" t="s">
        <v>93</v>
      </c>
      <c r="B20" s="152">
        <f>AVERAGE($B$14:$B$18)</f>
        <v>0</v>
      </c>
      <c r="C20" s="84"/>
      <c r="D20" s="84"/>
      <c r="E20" s="84"/>
      <c r="F20" s="84"/>
      <c r="G20" s="84"/>
      <c r="H20" s="81"/>
      <c r="I20" s="84"/>
      <c r="J20" s="85"/>
      <c r="K20" s="85"/>
      <c r="L20" s="85"/>
      <c r="M20" s="86"/>
      <c r="N20" s="109"/>
      <c r="P20" s="86"/>
      <c r="Q20" s="86"/>
      <c r="R20" s="86"/>
      <c r="S20" s="86"/>
      <c r="T20" s="81"/>
      <c r="U20" s="86"/>
      <c r="V20" s="85"/>
      <c r="W20" s="85"/>
      <c r="X20" s="85"/>
      <c r="Y20" s="260"/>
      <c r="Z20" s="109"/>
      <c r="AA20" s="86"/>
      <c r="AB20" s="86"/>
      <c r="AC20" s="86"/>
      <c r="AD20" s="86"/>
      <c r="AE20" s="86"/>
      <c r="AF20" s="86"/>
      <c r="AG20" s="81"/>
      <c r="AH20" s="86"/>
      <c r="AI20" s="85"/>
      <c r="AJ20" s="82"/>
      <c r="AL20" s="82"/>
      <c r="AO20" s="260"/>
      <c r="AZ20" s="82"/>
      <c r="BB20" s="82"/>
      <c r="BE20" s="260"/>
      <c r="BP20" s="87"/>
      <c r="CA20" s="87"/>
      <c r="CE20" s="252"/>
      <c r="CF20" s="252"/>
      <c r="CG20" s="252"/>
      <c r="CH20" s="252"/>
      <c r="CI20" s="252"/>
      <c r="CJ20" s="252"/>
      <c r="CK20" s="252"/>
      <c r="CL20" s="88"/>
      <c r="CW20" s="88"/>
    </row>
    <row r="21" spans="1:101" x14ac:dyDescent="0.4">
      <c r="A21" s="75" t="s">
        <v>242</v>
      </c>
      <c r="B21" s="81" t="e">
        <f>AVERAGE($H$14:$H$18)</f>
        <v>#DIV/0!</v>
      </c>
      <c r="C21" s="90"/>
      <c r="D21" s="90"/>
      <c r="E21" s="90"/>
      <c r="F21" s="90"/>
      <c r="G21" s="90"/>
      <c r="H21" s="90"/>
      <c r="I21" s="90"/>
      <c r="J21" s="102" t="s">
        <v>208</v>
      </c>
      <c r="K21" s="102"/>
      <c r="L21" s="102" t="s">
        <v>209</v>
      </c>
      <c r="M21" s="102"/>
      <c r="N21" s="260"/>
      <c r="O21" s="109"/>
      <c r="Q21" s="91"/>
      <c r="R21" s="91"/>
      <c r="S21" s="91"/>
      <c r="T21" s="91"/>
      <c r="U21" s="91"/>
      <c r="V21" s="91"/>
      <c r="W21" s="91"/>
      <c r="X21" s="91"/>
      <c r="Y21" s="91"/>
      <c r="AA21" s="109"/>
      <c r="AB21" s="91"/>
      <c r="AC21" s="91"/>
      <c r="AD21" s="91"/>
      <c r="AE21" s="91"/>
      <c r="AF21" s="91"/>
      <c r="AG21" s="91"/>
      <c r="AH21" s="91"/>
      <c r="AI21" s="91"/>
      <c r="AJ21" s="91"/>
      <c r="CI21" s="252"/>
      <c r="CJ21" s="252"/>
      <c r="CK21" s="252"/>
    </row>
    <row r="22" spans="1:101" x14ac:dyDescent="0.4">
      <c r="A22" s="75" t="s">
        <v>75</v>
      </c>
      <c r="B22" s="89" t="e">
        <f>INTERCEPT($H$14:$H$18,$B$14:$B$18)</f>
        <v>#DIV/0!</v>
      </c>
      <c r="C22" s="90"/>
      <c r="D22" s="90"/>
      <c r="E22" s="90"/>
      <c r="F22" s="90"/>
      <c r="G22" s="90"/>
      <c r="H22" s="90"/>
      <c r="I22" s="266" t="s">
        <v>210</v>
      </c>
      <c r="J22" s="206">
        <f>($B$14-$B$20)^2</f>
        <v>0</v>
      </c>
      <c r="K22" s="206" t="s">
        <v>212</v>
      </c>
      <c r="L22" s="86" t="e">
        <f>($H$14-$B$21)^2</f>
        <v>#VALUE!</v>
      </c>
      <c r="N22" s="260"/>
      <c r="O22" s="109"/>
      <c r="Q22" s="91"/>
      <c r="R22" s="91"/>
      <c r="S22" s="91"/>
      <c r="T22" s="91"/>
      <c r="U22" s="91"/>
      <c r="V22" s="91"/>
      <c r="W22" s="91"/>
      <c r="X22" s="91"/>
      <c r="Y22" s="91"/>
      <c r="AA22" s="109"/>
      <c r="AB22" s="91"/>
      <c r="AC22" s="91"/>
      <c r="AD22" s="91"/>
      <c r="AE22" s="91"/>
      <c r="AF22" s="91"/>
      <c r="AG22" s="91"/>
      <c r="AH22" s="91"/>
      <c r="AI22" s="91"/>
      <c r="AJ22" s="91"/>
      <c r="CI22" s="252"/>
      <c r="CJ22" s="252"/>
      <c r="CK22" s="252"/>
    </row>
    <row r="23" spans="1:101" x14ac:dyDescent="0.4">
      <c r="A23" s="75" t="s">
        <v>236</v>
      </c>
      <c r="B23" s="89" t="e">
        <f>SLOPE($H$14:$H$18,$B$14:$B$18)</f>
        <v>#DIV/0!</v>
      </c>
      <c r="C23" s="90"/>
      <c r="D23" s="90"/>
      <c r="E23" s="90"/>
      <c r="F23" s="90"/>
      <c r="G23" s="90"/>
      <c r="H23" s="90"/>
      <c r="I23" s="266" t="s">
        <v>238</v>
      </c>
      <c r="J23" s="206">
        <f>($B$15-$B$20)^2</f>
        <v>0</v>
      </c>
      <c r="K23" s="206" t="s">
        <v>243</v>
      </c>
      <c r="L23" s="86" t="e">
        <f>($H$15-$B$21)^2</f>
        <v>#VALUE!</v>
      </c>
      <c r="M23" s="91"/>
      <c r="O23" s="109"/>
      <c r="Q23" s="91"/>
      <c r="R23" s="91"/>
      <c r="S23" s="91"/>
      <c r="T23" s="91"/>
      <c r="U23" s="91"/>
      <c r="V23" s="91"/>
      <c r="W23" s="91"/>
      <c r="X23" s="91"/>
      <c r="Y23" s="91"/>
      <c r="AA23" s="109"/>
      <c r="AB23" s="91"/>
      <c r="AC23" s="91"/>
      <c r="AD23" s="91"/>
      <c r="AE23" s="91"/>
      <c r="AF23" s="91"/>
      <c r="AG23" s="91"/>
      <c r="AH23" s="91"/>
      <c r="AI23" s="91"/>
      <c r="AJ23" s="91"/>
      <c r="CI23" s="252"/>
      <c r="CJ23" s="252"/>
      <c r="CK23" s="252"/>
    </row>
    <row r="24" spans="1:101" x14ac:dyDescent="0.4">
      <c r="A24" s="75" t="s">
        <v>76</v>
      </c>
      <c r="B24" s="89" t="e">
        <f>CORREL($H$14:$H$18,$B$14:$B$18)</f>
        <v>#DIV/0!</v>
      </c>
      <c r="C24" s="90"/>
      <c r="D24" s="90"/>
      <c r="E24" s="90"/>
      <c r="F24" s="90"/>
      <c r="G24" s="90"/>
      <c r="H24" s="90"/>
      <c r="I24" s="266" t="s">
        <v>239</v>
      </c>
      <c r="J24" s="206">
        <f>($B$16-$B$20)^2</f>
        <v>0</v>
      </c>
      <c r="K24" s="206" t="s">
        <v>244</v>
      </c>
      <c r="L24" s="86" t="e">
        <f>($H$16-$B$21)^2</f>
        <v>#VALUE!</v>
      </c>
      <c r="M24" s="91"/>
      <c r="O24" s="109"/>
      <c r="Q24" s="91"/>
      <c r="R24" s="91"/>
      <c r="S24" s="91"/>
      <c r="T24" s="91"/>
      <c r="U24" s="91"/>
      <c r="V24" s="91"/>
      <c r="W24" s="91"/>
      <c r="X24" s="91"/>
      <c r="Y24" s="91"/>
      <c r="AA24" s="109"/>
      <c r="AB24" s="91"/>
      <c r="AC24" s="91"/>
      <c r="AD24" s="91"/>
      <c r="AE24" s="91"/>
      <c r="AF24" s="91"/>
      <c r="AG24" s="91"/>
      <c r="AH24" s="91"/>
      <c r="AI24" s="91"/>
      <c r="AJ24" s="91"/>
      <c r="CI24" s="252"/>
      <c r="CJ24" s="252"/>
      <c r="CK24" s="252"/>
    </row>
    <row r="25" spans="1:101" x14ac:dyDescent="0.4">
      <c r="A25" s="75" t="s">
        <v>84</v>
      </c>
      <c r="B25" s="89" t="e">
        <f>RSQ($H$14:$H$18,$B$14:$B$18)</f>
        <v>#DIV/0!</v>
      </c>
      <c r="C25" s="90"/>
      <c r="D25" s="90"/>
      <c r="E25" s="90"/>
      <c r="F25" s="90"/>
      <c r="G25" s="90"/>
      <c r="H25" s="90"/>
      <c r="I25" s="266" t="s">
        <v>240</v>
      </c>
      <c r="J25" s="206">
        <f>($B$17-$B$20)^2</f>
        <v>0</v>
      </c>
      <c r="K25" s="206" t="s">
        <v>245</v>
      </c>
      <c r="L25" s="86" t="e">
        <f>($H$17-$B$21)^2</f>
        <v>#VALUE!</v>
      </c>
      <c r="M25" s="91"/>
      <c r="N25" s="92"/>
      <c r="O25" s="109"/>
      <c r="P25" s="86"/>
      <c r="Q25" s="91"/>
      <c r="R25" s="91"/>
      <c r="S25" s="91"/>
      <c r="T25" s="91"/>
      <c r="U25" s="91"/>
      <c r="V25" s="91"/>
      <c r="W25" s="91"/>
      <c r="X25" s="91"/>
      <c r="Y25" s="91"/>
      <c r="AA25" s="109"/>
      <c r="AB25" s="91"/>
      <c r="AC25" s="91"/>
      <c r="AD25" s="91"/>
      <c r="AE25" s="91"/>
      <c r="AF25" s="91"/>
      <c r="AG25" s="91"/>
      <c r="AH25" s="91"/>
      <c r="AI25" s="91"/>
      <c r="AJ25" s="91"/>
      <c r="CI25" s="252"/>
      <c r="CJ25" s="252"/>
      <c r="CK25" s="252"/>
    </row>
    <row r="26" spans="1:101" ht="15.35" x14ac:dyDescent="0.6">
      <c r="A26" s="75" t="s">
        <v>90</v>
      </c>
      <c r="B26" s="89" t="e">
        <f>STEYX($H$14:$H$18,$B$14:$B$18)</f>
        <v>#DIV/0!</v>
      </c>
      <c r="C26" s="90"/>
      <c r="D26" s="90"/>
      <c r="E26" s="90"/>
      <c r="F26" s="90"/>
      <c r="G26" s="90"/>
      <c r="H26" s="90"/>
      <c r="I26" s="266" t="s">
        <v>241</v>
      </c>
      <c r="J26" s="206">
        <f>($B$18-$B$20)^2</f>
        <v>0</v>
      </c>
      <c r="K26" s="206" t="s">
        <v>213</v>
      </c>
      <c r="L26" s="86" t="e">
        <f>($H$18-$B$21)^2</f>
        <v>#VALUE!</v>
      </c>
      <c r="M26" s="91"/>
      <c r="N26" s="92"/>
      <c r="O26" s="109"/>
      <c r="P26" s="91"/>
      <c r="Q26" s="91"/>
      <c r="R26" s="91"/>
      <c r="S26" s="91"/>
      <c r="T26" s="91"/>
      <c r="U26" s="91"/>
      <c r="V26" s="91"/>
      <c r="W26" s="91"/>
      <c r="X26" s="91"/>
      <c r="Y26" s="91"/>
      <c r="AA26" s="109"/>
      <c r="AB26" s="101"/>
      <c r="AC26" s="91"/>
      <c r="AD26" s="91"/>
      <c r="AE26" s="91"/>
      <c r="AF26" s="91"/>
      <c r="AG26" s="91"/>
      <c r="AH26" s="91"/>
      <c r="AI26" s="91"/>
      <c r="AJ26" s="91"/>
      <c r="CI26" s="252"/>
      <c r="CJ26" s="252"/>
      <c r="CK26" s="252"/>
    </row>
    <row r="27" spans="1:101" x14ac:dyDescent="0.4">
      <c r="A27" s="75" t="s">
        <v>92</v>
      </c>
      <c r="B27" s="89">
        <f>SUM($J$22:$J$26)</f>
        <v>0</v>
      </c>
      <c r="C27" s="90"/>
      <c r="D27" s="90"/>
      <c r="E27" s="90"/>
      <c r="F27" s="90"/>
      <c r="G27" s="90"/>
      <c r="H27" s="90"/>
      <c r="I27" s="266"/>
      <c r="J27" s="206"/>
      <c r="K27" s="86"/>
      <c r="L27" s="91"/>
      <c r="M27" s="92"/>
      <c r="N27" s="109"/>
      <c r="O27" s="91"/>
      <c r="P27" s="91"/>
      <c r="Q27" s="91"/>
      <c r="R27" s="91"/>
      <c r="S27" s="91"/>
      <c r="T27" s="91"/>
      <c r="U27" s="91"/>
      <c r="V27" s="91"/>
      <c r="W27" s="91"/>
      <c r="X27" s="91"/>
      <c r="Z27" s="109"/>
      <c r="AA27" s="91"/>
      <c r="AB27" s="91"/>
      <c r="AC27" s="91"/>
      <c r="AD27" s="91"/>
      <c r="AE27" s="91"/>
      <c r="AF27" s="91"/>
      <c r="AG27" s="91"/>
      <c r="AH27" s="91"/>
      <c r="AI27" s="91"/>
      <c r="CH27" s="252"/>
      <c r="CI27" s="252"/>
      <c r="CJ27" s="252"/>
      <c r="CK27" s="252"/>
    </row>
    <row r="28" spans="1:101" x14ac:dyDescent="0.4">
      <c r="A28" s="75" t="s">
        <v>237</v>
      </c>
      <c r="B28" s="89" t="e">
        <f>SUM($L$22:$L$26)</f>
        <v>#VALUE!</v>
      </c>
      <c r="C28" s="90"/>
      <c r="D28" s="90"/>
      <c r="E28" s="90"/>
      <c r="F28" s="90"/>
      <c r="G28" s="90"/>
      <c r="H28" s="90"/>
      <c r="I28" s="90"/>
      <c r="J28" s="205" t="s">
        <v>218</v>
      </c>
      <c r="K28" s="205" t="s">
        <v>219</v>
      </c>
      <c r="L28" s="205" t="s">
        <v>220</v>
      </c>
      <c r="M28" s="109"/>
      <c r="N28" s="91"/>
      <c r="O28" s="91"/>
      <c r="P28" s="91"/>
      <c r="Q28" s="91"/>
      <c r="R28" s="91"/>
      <c r="S28" s="91"/>
      <c r="T28" s="91"/>
      <c r="U28" s="91"/>
      <c r="V28" s="91"/>
      <c r="W28" s="91"/>
      <c r="Y28" s="109"/>
      <c r="Z28" s="91"/>
      <c r="AA28" s="91"/>
      <c r="AB28" s="91"/>
      <c r="AC28" s="91"/>
      <c r="AD28" s="91"/>
      <c r="AE28" s="91"/>
      <c r="AF28" s="91"/>
      <c r="AG28" s="91"/>
      <c r="AH28" s="91"/>
      <c r="CG28" s="252"/>
      <c r="CH28" s="252"/>
      <c r="CI28" s="252"/>
      <c r="CJ28" s="252"/>
      <c r="CK28" s="252"/>
    </row>
    <row r="29" spans="1:101" x14ac:dyDescent="0.4">
      <c r="A29" s="75" t="s">
        <v>77</v>
      </c>
      <c r="B29" s="89" t="e">
        <f>(SQRT($B$28/$B$32))/(SQRT($B$27))</f>
        <v>#VALUE!</v>
      </c>
      <c r="C29" s="90"/>
      <c r="D29" s="90"/>
      <c r="E29" s="90"/>
      <c r="F29" s="90"/>
      <c r="G29" s="90"/>
      <c r="H29" s="90"/>
      <c r="I29" s="205" t="s">
        <v>210</v>
      </c>
      <c r="J29" s="91">
        <f>B14</f>
        <v>0</v>
      </c>
      <c r="K29" s="248">
        <f>B14</f>
        <v>0</v>
      </c>
      <c r="L29" s="247">
        <f>B14</f>
        <v>0</v>
      </c>
      <c r="M29" s="109"/>
      <c r="N29" s="91"/>
      <c r="O29" s="91"/>
      <c r="P29" s="91"/>
      <c r="Q29" s="91"/>
      <c r="R29" s="91"/>
      <c r="S29" s="91"/>
      <c r="T29" s="91"/>
      <c r="U29" s="91"/>
      <c r="V29" s="91"/>
      <c r="W29" s="91"/>
      <c r="Y29" s="109"/>
      <c r="Z29" s="91"/>
      <c r="AA29" s="91"/>
      <c r="AB29" s="91"/>
      <c r="AC29" s="91"/>
      <c r="AD29" s="91"/>
      <c r="AE29" s="91"/>
      <c r="AF29" s="91"/>
      <c r="AG29" s="91"/>
      <c r="AH29" s="91"/>
      <c r="CG29" s="252"/>
      <c r="CH29" s="252"/>
      <c r="CI29" s="252"/>
      <c r="CJ29" s="252"/>
      <c r="CK29" s="252"/>
    </row>
    <row r="30" spans="1:101" x14ac:dyDescent="0.4">
      <c r="A30" s="94" t="s">
        <v>78</v>
      </c>
      <c r="B30" s="95">
        <f>COUNT($C$14:$G$18)</f>
        <v>0</v>
      </c>
      <c r="C30" s="90"/>
      <c r="D30" s="90"/>
      <c r="E30" s="90"/>
      <c r="F30" s="90"/>
      <c r="G30" s="90"/>
      <c r="H30" s="90"/>
      <c r="I30" s="205" t="s">
        <v>211</v>
      </c>
      <c r="J30" s="91">
        <f>B18</f>
        <v>0</v>
      </c>
      <c r="K30" s="247">
        <f>B18</f>
        <v>0</v>
      </c>
      <c r="L30" s="247">
        <f>B18</f>
        <v>0</v>
      </c>
      <c r="M30" s="109"/>
      <c r="N30" s="91"/>
      <c r="O30" s="91"/>
      <c r="P30" s="91"/>
      <c r="Q30" s="91"/>
      <c r="R30" s="91"/>
      <c r="S30" s="91"/>
      <c r="T30" s="91"/>
      <c r="U30" s="91"/>
      <c r="V30" s="91"/>
      <c r="W30" s="91"/>
      <c r="Y30" s="109"/>
      <c r="Z30" s="100"/>
      <c r="AA30" s="91"/>
      <c r="AB30" s="91"/>
      <c r="AC30" s="91"/>
      <c r="AD30" s="91"/>
      <c r="AE30" s="91"/>
      <c r="AF30" s="91"/>
      <c r="AG30" s="91"/>
      <c r="AH30" s="91"/>
      <c r="CG30" s="252"/>
      <c r="CH30" s="252"/>
      <c r="CI30" s="252"/>
      <c r="CJ30" s="252"/>
      <c r="CK30" s="252"/>
    </row>
    <row r="31" spans="1:101" x14ac:dyDescent="0.4">
      <c r="A31" s="75" t="s">
        <v>99</v>
      </c>
      <c r="B31" s="93" t="e">
        <f>$B$23/$B$29</f>
        <v>#DIV/0!</v>
      </c>
      <c r="C31" s="90"/>
      <c r="D31" s="90"/>
      <c r="E31" s="90"/>
      <c r="F31" s="90"/>
      <c r="G31" s="90"/>
      <c r="H31" s="90"/>
      <c r="I31" s="205" t="s">
        <v>212</v>
      </c>
      <c r="J31" s="91" t="str">
        <f>H14</f>
        <v/>
      </c>
      <c r="K31" s="247" t="e">
        <f>$H$14+(1*$I$5)</f>
        <v>#VALUE!</v>
      </c>
      <c r="L31" s="247" t="e">
        <f>$H$14-(1*$I$5)</f>
        <v>#VALUE!</v>
      </c>
      <c r="M31" s="109"/>
      <c r="N31" s="91"/>
      <c r="O31" s="91"/>
      <c r="P31" s="91"/>
      <c r="Q31" s="91"/>
      <c r="R31" s="91"/>
      <c r="S31" s="91"/>
      <c r="T31" s="91"/>
      <c r="U31" s="91"/>
      <c r="V31" s="91"/>
      <c r="W31" s="91"/>
      <c r="Y31" s="109"/>
      <c r="Z31" s="100"/>
      <c r="AA31" s="91"/>
      <c r="AB31" s="91"/>
      <c r="AC31" s="91"/>
      <c r="AD31" s="91"/>
      <c r="AE31" s="91"/>
      <c r="AF31" s="91"/>
      <c r="AG31" s="91"/>
      <c r="AH31" s="91"/>
      <c r="CG31" s="252"/>
      <c r="CH31" s="252"/>
      <c r="CI31" s="252"/>
      <c r="CJ31" s="252"/>
      <c r="CK31" s="252"/>
    </row>
    <row r="32" spans="1:101" x14ac:dyDescent="0.4">
      <c r="A32" s="94" t="s">
        <v>79</v>
      </c>
      <c r="B32" s="95">
        <f>$B$30-2</f>
        <v>-2</v>
      </c>
      <c r="C32" s="90"/>
      <c r="D32" s="90"/>
      <c r="E32" s="90"/>
      <c r="F32" s="90"/>
      <c r="G32" s="90"/>
      <c r="H32" s="90"/>
      <c r="I32" s="205" t="s">
        <v>213</v>
      </c>
      <c r="J32" s="91" t="str">
        <f>H14</f>
        <v/>
      </c>
      <c r="K32" s="247" t="e">
        <f>$H$14+(1*$I$5)</f>
        <v>#VALUE!</v>
      </c>
      <c r="L32" s="247" t="e">
        <f>$H$14-(1*$I$5)</f>
        <v>#VALUE!</v>
      </c>
      <c r="M32" s="67"/>
      <c r="N32" s="109"/>
      <c r="O32" s="91"/>
      <c r="P32" s="91"/>
      <c r="Q32" s="91"/>
      <c r="R32" s="91"/>
      <c r="S32" s="91"/>
      <c r="T32" s="91"/>
      <c r="U32" s="91"/>
      <c r="V32" s="91"/>
      <c r="W32" s="91"/>
      <c r="X32" s="91"/>
      <c r="Z32" s="109"/>
      <c r="AA32" s="102"/>
      <c r="AB32" s="91"/>
      <c r="AC32" s="91"/>
      <c r="AD32" s="91"/>
      <c r="AE32" s="91"/>
      <c r="AF32" s="91"/>
      <c r="AG32" s="91"/>
      <c r="AH32" s="91"/>
      <c r="AI32" s="91"/>
      <c r="CH32" s="252"/>
      <c r="CI32" s="252"/>
      <c r="CJ32" s="252"/>
      <c r="CK32" s="252"/>
    </row>
    <row r="33" spans="1:89" x14ac:dyDescent="0.4">
      <c r="A33" s="94" t="s">
        <v>95</v>
      </c>
      <c r="B33" s="89" t="e">
        <f>TINV(0.05,$B$32)</f>
        <v>#NUM!</v>
      </c>
      <c r="C33" s="90"/>
      <c r="D33" s="90"/>
      <c r="E33" s="90"/>
      <c r="F33" s="90"/>
      <c r="G33" s="90"/>
      <c r="H33" s="90"/>
      <c r="I33" s="90"/>
      <c r="J33" s="91"/>
      <c r="K33" s="247"/>
      <c r="L33" s="247"/>
      <c r="M33" s="67"/>
      <c r="N33" s="109"/>
      <c r="O33" s="91"/>
      <c r="P33" s="91"/>
      <c r="Q33" s="91"/>
      <c r="R33" s="91"/>
      <c r="S33" s="91"/>
      <c r="T33" s="91"/>
      <c r="U33" s="91"/>
      <c r="V33" s="91"/>
      <c r="W33" s="91"/>
      <c r="X33" s="91"/>
      <c r="Z33" s="109"/>
      <c r="AA33" s="91"/>
      <c r="AB33" s="91"/>
      <c r="AC33" s="91"/>
      <c r="AD33" s="91"/>
      <c r="AE33" s="91"/>
      <c r="AF33" s="91"/>
      <c r="AG33" s="91"/>
      <c r="AH33" s="91"/>
      <c r="AI33" s="91"/>
      <c r="CH33" s="252"/>
      <c r="CI33" s="252"/>
      <c r="CJ33" s="252"/>
      <c r="CK33" s="252"/>
    </row>
    <row r="34" spans="1:89" ht="13" x14ac:dyDescent="0.45">
      <c r="A34" s="75" t="s">
        <v>156</v>
      </c>
      <c r="B34" s="96" t="e">
        <f>IF(ABS($B$31)&gt;$B$33,"YES","NO")</f>
        <v>#DIV/0!</v>
      </c>
      <c r="C34" s="66"/>
      <c r="D34" s="66"/>
      <c r="E34" s="66"/>
      <c r="F34" s="66"/>
      <c r="G34" s="66"/>
      <c r="H34" s="66"/>
      <c r="I34" s="90"/>
      <c r="J34" s="205" t="s">
        <v>218</v>
      </c>
      <c r="K34" s="205" t="s">
        <v>222</v>
      </c>
      <c r="L34" s="205" t="s">
        <v>221</v>
      </c>
      <c r="M34" s="67"/>
      <c r="N34" s="109"/>
      <c r="Z34" s="109"/>
      <c r="CH34" s="252"/>
      <c r="CI34" s="252"/>
      <c r="CJ34" s="252"/>
      <c r="CK34" s="252"/>
    </row>
    <row r="35" spans="1:89" x14ac:dyDescent="0.4">
      <c r="A35" s="66"/>
      <c r="B35" s="66"/>
      <c r="C35" s="66"/>
      <c r="D35" s="66"/>
      <c r="E35" s="66"/>
      <c r="F35" s="66"/>
      <c r="G35" s="66"/>
      <c r="H35" s="66"/>
      <c r="I35" s="249" t="s">
        <v>210</v>
      </c>
      <c r="J35" s="205">
        <f>B14</f>
        <v>0</v>
      </c>
      <c r="K35" s="91">
        <f>B14</f>
        <v>0</v>
      </c>
      <c r="L35" s="91">
        <f>B14</f>
        <v>0</v>
      </c>
      <c r="M35" s="67"/>
      <c r="CH35" s="252"/>
      <c r="CI35" s="252"/>
      <c r="CJ35" s="252"/>
      <c r="CK35" s="252"/>
    </row>
    <row r="36" spans="1:89" x14ac:dyDescent="0.4">
      <c r="A36" s="72" t="s">
        <v>97</v>
      </c>
      <c r="B36" s="64"/>
      <c r="C36" s="64"/>
      <c r="D36" s="73"/>
      <c r="E36" s="73"/>
      <c r="F36" s="64"/>
      <c r="G36" s="64"/>
      <c r="H36" s="64"/>
      <c r="I36" s="249" t="s">
        <v>211</v>
      </c>
      <c r="J36" s="249">
        <f>B18</f>
        <v>0</v>
      </c>
      <c r="K36" s="247">
        <f>B18</f>
        <v>0</v>
      </c>
      <c r="L36" s="247">
        <f>B18</f>
        <v>0</v>
      </c>
      <c r="M36" s="67"/>
      <c r="N36" s="126"/>
      <c r="O36" s="109"/>
      <c r="P36" s="127"/>
      <c r="Q36" s="127"/>
      <c r="R36" s="109"/>
      <c r="S36" s="109"/>
      <c r="T36" s="109"/>
      <c r="U36" s="109"/>
      <c r="V36" s="109"/>
      <c r="W36" s="109"/>
      <c r="X36" s="109"/>
      <c r="Z36" s="126"/>
      <c r="AA36" s="109"/>
      <c r="AB36" s="109"/>
      <c r="AC36" s="127"/>
      <c r="AD36" s="127"/>
      <c r="AE36" s="109"/>
      <c r="AF36" s="109"/>
      <c r="AG36" s="109"/>
      <c r="AH36" s="109"/>
      <c r="AI36" s="109"/>
      <c r="CH36" s="252"/>
      <c r="CI36" s="252"/>
      <c r="CJ36" s="252"/>
      <c r="CK36" s="252"/>
    </row>
    <row r="37" spans="1:89" x14ac:dyDescent="0.4">
      <c r="A37" s="62" t="e">
        <f>IF($B$34="YES", "The slope is NOT statistically significantly different from zero.", "The slope IS statistically significantly different from zero, indicating that interference is statistically significant.")</f>
        <v>#DIV/0!</v>
      </c>
      <c r="B37" s="64"/>
      <c r="C37" s="64"/>
      <c r="D37" s="73"/>
      <c r="E37" s="73"/>
      <c r="F37" s="64"/>
      <c r="G37" s="64"/>
      <c r="H37" s="64"/>
      <c r="I37" s="250" t="s">
        <v>212</v>
      </c>
      <c r="J37" s="249" t="str">
        <f>H14</f>
        <v/>
      </c>
      <c r="K37" s="247" t="e">
        <f>$H$14+($H$14*$I$6)</f>
        <v>#VALUE!</v>
      </c>
      <c r="L37" s="247" t="e">
        <f>$H$14-($H$14*$I$6)</f>
        <v>#VALUE!</v>
      </c>
      <c r="M37" s="67"/>
      <c r="N37" s="74"/>
      <c r="O37" s="109"/>
      <c r="P37" s="127"/>
      <c r="Q37" s="127"/>
      <c r="R37" s="109"/>
      <c r="S37" s="109"/>
      <c r="T37" s="109"/>
      <c r="U37" s="109"/>
      <c r="V37" s="109"/>
      <c r="W37" s="109"/>
      <c r="X37" s="109"/>
      <c r="Z37" s="74"/>
      <c r="AA37" s="109"/>
      <c r="AB37" s="109"/>
      <c r="AC37" s="127"/>
      <c r="AD37" s="127"/>
      <c r="AE37" s="109"/>
      <c r="AF37" s="109"/>
      <c r="AG37" s="109"/>
      <c r="AH37" s="109"/>
      <c r="AI37" s="109"/>
      <c r="CH37" s="252"/>
      <c r="CI37" s="252"/>
      <c r="CJ37" s="252"/>
      <c r="CK37" s="252"/>
    </row>
    <row r="38" spans="1:89" ht="13.95" customHeight="1" x14ac:dyDescent="0.4">
      <c r="I38" s="250" t="s">
        <v>213</v>
      </c>
      <c r="J38" s="268" t="str">
        <f>H14</f>
        <v/>
      </c>
      <c r="K38" s="247" t="e">
        <f>$H$14+($H$14*$I$6)</f>
        <v>#VALUE!</v>
      </c>
      <c r="L38" s="247" t="e">
        <f>$H$14-($H$14*$I$6)</f>
        <v>#VALUE!</v>
      </c>
    </row>
    <row r="39" spans="1:89" x14ac:dyDescent="0.4">
      <c r="A39" s="251" t="str">
        <f>IF(AND($J$15="YES",$L$16="YES"),"Bias with Interferent Level 2 &gt; the acceptable limit (Dmax), indicating that Interference is Clinically Significant. ", "Bias with Interferent Level 2 &lt; the acceptable limit (Dmax), indicating that Interference is NOT Clinically Significant.")</f>
        <v>Bias with Interferent Level 2 &lt; the acceptable limit (Dmax), indicating that Interference is NOT Clinically Significant.</v>
      </c>
      <c r="J39" s="207"/>
      <c r="K39" s="207"/>
      <c r="L39" s="207"/>
      <c r="M39" s="67"/>
      <c r="N39" s="74"/>
      <c r="Z39" s="74"/>
      <c r="CH39" s="252"/>
      <c r="CI39" s="252"/>
      <c r="CJ39" s="252"/>
      <c r="CK39" s="252"/>
    </row>
    <row r="40" spans="1:89" x14ac:dyDescent="0.4">
      <c r="A40" s="62" t="str">
        <f>IF(AND($J$16 ="YES",$L$16="YES"), "Bias with Interferent Level 3 &gt; the acceptable limit (Dmax), indicating that Interference is Clinically Significant. ", "Bias with Interferent Level 3 &lt; the acceptable limit (Dmax), indicating that Interference is NOT Clinically Significant.")</f>
        <v>Bias with Interferent Level 3 &lt; the acceptable limit (Dmax), indicating that Interference is NOT Clinically Significant.</v>
      </c>
      <c r="M40" s="67"/>
      <c r="N40" s="74"/>
      <c r="Z40" s="74"/>
      <c r="CH40" s="252"/>
      <c r="CI40" s="252"/>
      <c r="CJ40" s="252"/>
      <c r="CK40" s="252"/>
    </row>
    <row r="41" spans="1:89" x14ac:dyDescent="0.4">
      <c r="A41" s="62" t="str">
        <f>IF(AND($J$17 ="YES",$L$17="YES"), "Bias with Interferent Level 4 &gt; the acceptable limit (Dmax), indicating that Interference is Clinically Significant. ", "Bias with Interferent Level 4 &lt; the acceptable limit (Dmax), indicating that Interference is NOT Clinically Significant.")</f>
        <v>Bias with Interferent Level 4 &lt; the acceptable limit (Dmax), indicating that Interference is NOT Clinically Significant.</v>
      </c>
      <c r="J41" s="67"/>
      <c r="K41" s="67"/>
      <c r="L41" s="67"/>
      <c r="M41" s="67"/>
      <c r="N41" s="74"/>
      <c r="Z41" s="74"/>
      <c r="CH41" s="252"/>
      <c r="CI41" s="252"/>
      <c r="CJ41" s="252"/>
      <c r="CK41" s="252"/>
    </row>
    <row r="42" spans="1:89" s="64" customFormat="1" x14ac:dyDescent="0.4">
      <c r="A42" s="251" t="str">
        <f>IF(AND($J$18 ="NO",$L$18="NO"), "Bias with Interferent Level 5 &lt; the acceptable limit (Dmax), indicating that Interference is NOT Clinically Significant. ", "Bias with Interferent Level 5 &gt; the acceptable limit (Dmax), indicating that Interference IS Clinically Significant.")</f>
        <v>Bias with Interferent Level 5 &gt; the acceptable limit (Dmax), indicating that Interference IS Clinically Significant.</v>
      </c>
      <c r="D42" s="73"/>
      <c r="E42" s="73"/>
      <c r="J42" s="109"/>
      <c r="K42" s="109"/>
      <c r="L42" s="109"/>
      <c r="M42" s="109"/>
      <c r="N42" s="109"/>
      <c r="O42" s="109"/>
      <c r="P42" s="127"/>
      <c r="Q42" s="127"/>
      <c r="R42" s="109"/>
      <c r="S42" s="109"/>
      <c r="T42" s="109"/>
      <c r="U42" s="109"/>
      <c r="V42" s="109"/>
      <c r="W42" s="109"/>
      <c r="X42" s="109"/>
      <c r="Y42" s="109"/>
      <c r="Z42" s="109"/>
      <c r="AA42" s="109"/>
      <c r="AB42" s="109"/>
      <c r="AC42" s="127"/>
      <c r="AD42" s="127"/>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row>
    <row r="43" spans="1:89" ht="12.75" customHeight="1" x14ac:dyDescent="0.4">
      <c r="I43" s="64"/>
      <c r="J43" s="67"/>
      <c r="K43" s="67"/>
      <c r="L43" s="67"/>
      <c r="M43" s="67"/>
      <c r="CH43" s="252"/>
      <c r="CI43" s="252"/>
      <c r="CJ43" s="252"/>
      <c r="CK43" s="252"/>
    </row>
    <row r="44" spans="1:89" s="64" customFormat="1" x14ac:dyDescent="0.4">
      <c r="A44" s="64" t="s">
        <v>124</v>
      </c>
      <c r="F44" s="207"/>
      <c r="G44" s="207"/>
      <c r="H44" s="207"/>
      <c r="I44" s="207"/>
      <c r="J44" s="208" t="s">
        <v>216</v>
      </c>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row>
    <row r="45" spans="1:89" s="64" customFormat="1" x14ac:dyDescent="0.4">
      <c r="A45" s="64" t="s">
        <v>128</v>
      </c>
      <c r="B45" s="71" t="s">
        <v>94</v>
      </c>
      <c r="C45" s="71" t="s">
        <v>75</v>
      </c>
      <c r="D45" s="64" t="s">
        <v>98</v>
      </c>
      <c r="F45" s="207" t="s">
        <v>129</v>
      </c>
      <c r="G45" s="207" t="s">
        <v>94</v>
      </c>
      <c r="H45" s="207" t="s">
        <v>75</v>
      </c>
      <c r="I45" s="207" t="s">
        <v>98</v>
      </c>
      <c r="J45" s="207" t="s">
        <v>217</v>
      </c>
      <c r="K45" s="67"/>
      <c r="L45" s="67"/>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row>
    <row r="46" spans="1:89" s="64" customFormat="1" x14ac:dyDescent="0.4">
      <c r="A46" s="251" t="s">
        <v>154</v>
      </c>
      <c r="B46" s="244" t="str">
        <f>IF($I$5="","",SLOPE($I$14:$I$15,$B$14:$B$15))</f>
        <v/>
      </c>
      <c r="C46" s="244" t="str">
        <f>IF($I$5="","",INTERCEPT($I$14:$I$15,$B$14:$B$15))</f>
        <v/>
      </c>
      <c r="D46" s="110" t="str">
        <f>IF($I$5="","",ABS(($I$5-$C$46)/$B$46))</f>
        <v/>
      </c>
      <c r="E46" s="110"/>
      <c r="F46" s="251" t="s">
        <v>154</v>
      </c>
      <c r="G46" s="244" t="str">
        <f>IF($I$6="","",SLOPE($K$14:$K$15,$B$14:$B$15))</f>
        <v/>
      </c>
      <c r="H46" s="244" t="str">
        <f>IF($I$6="","",INTERCEPT($K$14:$K$15,$B$14:$B$15))</f>
        <v/>
      </c>
      <c r="I46" s="110" t="str">
        <f>IF($I$6="","",ABS(($I$6-$H$46)/$G$46))</f>
        <v/>
      </c>
      <c r="J46" s="128">
        <f>MAX($D$46,$I$46)</f>
        <v>0</v>
      </c>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row>
    <row r="47" spans="1:89" x14ac:dyDescent="0.4">
      <c r="A47" s="251" t="s">
        <v>125</v>
      </c>
      <c r="B47" s="244" t="str">
        <f>IF($I$5="","",SLOPE($I$15:$I$16,$B$15:$B$16))</f>
        <v/>
      </c>
      <c r="C47" s="244" t="str">
        <f>IF($I$5="","",INTERCEPT($I$15:$I$16,$B$15:$B$16))</f>
        <v/>
      </c>
      <c r="D47" s="110" t="str">
        <f>IF($I$5="","",ABS(($I$5-$C$47)/$B$47))</f>
        <v/>
      </c>
      <c r="E47" s="110"/>
      <c r="F47" s="251" t="s">
        <v>125</v>
      </c>
      <c r="G47" s="244" t="str">
        <f>IF($I$6="","",SLOPE($K$15:$K$16,$B$15:$B$16))</f>
        <v/>
      </c>
      <c r="H47" s="244" t="str">
        <f>IF($I$6="","",INTERCEPT($K$15:$K$16,$B$15:$B$16))</f>
        <v/>
      </c>
      <c r="I47" s="110" t="str">
        <f>IF($I$6="","",ABS(($I$6-$H$47)/$G$47))</f>
        <v/>
      </c>
      <c r="J47" s="128">
        <f>MAX($D$47,$I$47)</f>
        <v>0</v>
      </c>
      <c r="K47" s="109"/>
      <c r="L47" s="109"/>
      <c r="M47" s="67"/>
      <c r="CH47" s="252"/>
      <c r="CI47" s="252"/>
      <c r="CJ47" s="252"/>
      <c r="CK47" s="252"/>
    </row>
    <row r="48" spans="1:89" x14ac:dyDescent="0.4">
      <c r="A48" s="251" t="s">
        <v>126</v>
      </c>
      <c r="B48" s="244" t="str">
        <f>IF($I$5="","",SLOPE($I$16:$I$17,$B$16:$B$17))</f>
        <v/>
      </c>
      <c r="C48" s="244" t="str">
        <f>IF($I$5="","",INTERCEPT($I$16:$I$17,$B$16:$B$17))</f>
        <v/>
      </c>
      <c r="D48" s="110" t="str">
        <f>IF($I$5="","",ABS(($I$5-$C$48)/$B$48))</f>
        <v/>
      </c>
      <c r="E48" s="110"/>
      <c r="F48" s="251" t="s">
        <v>126</v>
      </c>
      <c r="G48" s="244" t="str">
        <f>IF($I$6="","",SLOPE($K$16:$K$17,$B$16:$B$17))</f>
        <v/>
      </c>
      <c r="H48" s="244" t="str">
        <f>IF($I$6="","",INTERCEPT($K$16:$K$17,$B$16:$B$17))</f>
        <v/>
      </c>
      <c r="I48" s="110" t="str">
        <f>IF($I$6="","",ABS(($I$6-$H$48)/$G$48))</f>
        <v/>
      </c>
      <c r="J48" s="128">
        <f>MAX($D$48,$I$48)</f>
        <v>0</v>
      </c>
      <c r="K48" s="109"/>
      <c r="L48" s="109"/>
      <c r="M48" s="67"/>
      <c r="CH48" s="252"/>
      <c r="CI48" s="252"/>
      <c r="CJ48" s="252"/>
      <c r="CK48" s="252"/>
    </row>
    <row r="49" spans="1:89" x14ac:dyDescent="0.4">
      <c r="A49" s="251" t="s">
        <v>127</v>
      </c>
      <c r="B49" s="244" t="str">
        <f>IF($I$5="","",SLOPE($I$17:$I$18,$B$17:$B$18))</f>
        <v/>
      </c>
      <c r="C49" s="244" t="str">
        <f>IF($I$5="","",INTERCEPT($I$17:$I$18,$B$17:$B$18))</f>
        <v/>
      </c>
      <c r="D49" s="110" t="str">
        <f>IF($I$5="","",ABS(($I$5-$C$49)/$B$49))</f>
        <v/>
      </c>
      <c r="E49" s="110"/>
      <c r="F49" s="251" t="s">
        <v>127</v>
      </c>
      <c r="G49" s="244" t="str">
        <f>IF($I$6="","",SLOPE($K$17:$K$18,$B$17:$B$18))</f>
        <v/>
      </c>
      <c r="H49" s="244" t="str">
        <f>IF($I$6="","",INTERCEPT($K$17:$K$18,$B$17:$B$18))</f>
        <v/>
      </c>
      <c r="I49" s="110" t="str">
        <f>IF($I$6="","",ABS(($I$6-$H$49)/$G$49))</f>
        <v/>
      </c>
      <c r="J49" s="128">
        <f>MAX($D$49,$I$49)</f>
        <v>0</v>
      </c>
      <c r="K49" s="67"/>
      <c r="L49" s="67"/>
      <c r="M49" s="67"/>
      <c r="CH49" s="252"/>
      <c r="CI49" s="252"/>
      <c r="CJ49" s="252"/>
      <c r="CK49" s="252"/>
    </row>
    <row r="50" spans="1:89" x14ac:dyDescent="0.4">
      <c r="J50" s="67"/>
      <c r="K50" s="67"/>
      <c r="L50" s="67"/>
      <c r="M50" s="67"/>
      <c r="CG50" s="252"/>
      <c r="CH50" s="252"/>
      <c r="CI50" s="252"/>
      <c r="CJ50" s="252"/>
      <c r="CK50" s="252"/>
    </row>
    <row r="51" spans="1:89" ht="13" thickBot="1" x14ac:dyDescent="0.45">
      <c r="A51" s="267" t="s">
        <v>246</v>
      </c>
      <c r="C51" s="271" t="s">
        <v>249</v>
      </c>
      <c r="D51" s="271" t="s">
        <v>250</v>
      </c>
      <c r="E51" s="271" t="s">
        <v>251</v>
      </c>
      <c r="F51" s="271" t="s">
        <v>252</v>
      </c>
      <c r="J51" s="67"/>
      <c r="K51" s="67"/>
      <c r="L51" s="67"/>
      <c r="M51" s="67"/>
      <c r="CG51" s="252"/>
      <c r="CH51" s="252"/>
      <c r="CI51" s="252"/>
      <c r="CJ51" s="252"/>
      <c r="CK51" s="252"/>
    </row>
    <row r="52" spans="1:89" s="64" customFormat="1" ht="13" thickBot="1" x14ac:dyDescent="0.45">
      <c r="A52" s="273" t="s">
        <v>155</v>
      </c>
      <c r="B52" s="274"/>
      <c r="C52" s="272">
        <f>IF(OR($J$15="NO",$L$15="NO"),"",$J$46)</f>
        <v>0</v>
      </c>
      <c r="D52" s="272">
        <f>IF(OR($J$16="NO",$L$16="NO"),"",$J$47)</f>
        <v>0</v>
      </c>
      <c r="E52" s="272">
        <f>IF(OR($J$17="NO",$L$17="NO"),"",J48)</f>
        <v>0</v>
      </c>
      <c r="F52" s="272">
        <f>IF(OR($J$18="NO",$L$18="NO"),"",$J$49)</f>
        <v>0</v>
      </c>
      <c r="J52" s="109"/>
      <c r="K52" s="67"/>
      <c r="L52" s="67"/>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row>
    <row r="53" spans="1:89" x14ac:dyDescent="0.4">
      <c r="J53" s="67"/>
      <c r="K53" s="67"/>
      <c r="L53" s="67"/>
      <c r="M53" s="67"/>
      <c r="CG53" s="252"/>
      <c r="CH53" s="252"/>
      <c r="CI53" s="252"/>
      <c r="CJ53" s="252"/>
      <c r="CK53" s="252"/>
    </row>
    <row r="54" spans="1:89" x14ac:dyDescent="0.4">
      <c r="J54" s="67"/>
      <c r="K54" s="109"/>
      <c r="L54" s="109"/>
      <c r="M54" s="67"/>
      <c r="CG54" s="252"/>
      <c r="CH54" s="252"/>
      <c r="CI54" s="252"/>
      <c r="CJ54" s="252"/>
      <c r="CK54" s="252"/>
    </row>
    <row r="55" spans="1:89" x14ac:dyDescent="0.4">
      <c r="A55" s="64" t="s">
        <v>66</v>
      </c>
      <c r="B55" s="64"/>
      <c r="C55" s="64"/>
      <c r="D55" s="64"/>
      <c r="E55" s="64"/>
      <c r="F55" s="64"/>
      <c r="G55" s="64"/>
      <c r="H55" s="64"/>
      <c r="I55" s="64"/>
      <c r="J55" s="64"/>
      <c r="K55" s="67"/>
      <c r="L55" s="67"/>
      <c r="M55" s="109"/>
      <c r="N55" s="109"/>
      <c r="O55" s="109"/>
      <c r="P55" s="109"/>
      <c r="Q55" s="109"/>
      <c r="R55" s="109"/>
      <c r="S55" s="109"/>
      <c r="T55" s="109"/>
      <c r="U55" s="109"/>
      <c r="V55" s="109"/>
      <c r="W55" s="109"/>
      <c r="Y55" s="109"/>
      <c r="Z55" s="109"/>
      <c r="AA55" s="109"/>
      <c r="AB55" s="109"/>
      <c r="AC55" s="109"/>
      <c r="AD55" s="109"/>
      <c r="AE55" s="109"/>
      <c r="AF55" s="109"/>
      <c r="AG55" s="109"/>
      <c r="AH55" s="109"/>
      <c r="CG55" s="252"/>
      <c r="CH55" s="252"/>
      <c r="CI55" s="252"/>
      <c r="CJ55" s="252"/>
      <c r="CK55" s="252"/>
    </row>
    <row r="56" spans="1:89" x14ac:dyDescent="0.4">
      <c r="K56" s="67"/>
      <c r="L56" s="67"/>
      <c r="M56" s="67"/>
      <c r="CG56" s="252"/>
      <c r="CH56" s="252"/>
      <c r="CI56" s="252"/>
      <c r="CJ56" s="252"/>
      <c r="CK56" s="252"/>
    </row>
    <row r="57" spans="1:89" x14ac:dyDescent="0.4">
      <c r="B57" s="106"/>
      <c r="C57" s="106"/>
      <c r="D57" s="106"/>
      <c r="E57" s="106"/>
      <c r="G57" s="106"/>
      <c r="H57" s="106"/>
      <c r="I57" s="106"/>
      <c r="J57" s="106"/>
      <c r="K57" s="64"/>
      <c r="L57" s="67"/>
      <c r="M57" s="67"/>
      <c r="O57" s="262"/>
      <c r="P57" s="262"/>
      <c r="Q57" s="262"/>
      <c r="S57" s="262"/>
      <c r="T57" s="262"/>
      <c r="U57" s="262"/>
      <c r="V57" s="262"/>
      <c r="W57" s="262"/>
      <c r="X57" s="262"/>
      <c r="AA57" s="262"/>
      <c r="AB57" s="262"/>
      <c r="AC57" s="262"/>
      <c r="AD57" s="262"/>
      <c r="AF57" s="262"/>
      <c r="AG57" s="262"/>
      <c r="AH57" s="262"/>
      <c r="AI57" s="262"/>
      <c r="CH57" s="252"/>
      <c r="CI57" s="252"/>
      <c r="CJ57" s="252"/>
      <c r="CK57" s="252"/>
    </row>
    <row r="58" spans="1:89" x14ac:dyDescent="0.4">
      <c r="A58" s="64" t="s">
        <v>67</v>
      </c>
      <c r="B58" s="107"/>
      <c r="C58" s="107"/>
      <c r="D58" s="107"/>
      <c r="E58" s="107"/>
      <c r="F58" s="64" t="s">
        <v>5</v>
      </c>
      <c r="G58" s="107"/>
      <c r="H58" s="107"/>
      <c r="I58" s="107"/>
      <c r="J58" s="107"/>
      <c r="L58" s="67"/>
      <c r="M58" s="67"/>
      <c r="N58" s="109"/>
      <c r="O58" s="262"/>
      <c r="P58" s="262"/>
      <c r="Q58" s="262"/>
      <c r="R58" s="109"/>
      <c r="S58" s="262"/>
      <c r="T58" s="262"/>
      <c r="U58" s="262"/>
      <c r="V58" s="262"/>
      <c r="W58" s="262"/>
      <c r="X58" s="262"/>
      <c r="Z58" s="109"/>
      <c r="AA58" s="262"/>
      <c r="AB58" s="262"/>
      <c r="AC58" s="262"/>
      <c r="AD58" s="262"/>
      <c r="AE58" s="109"/>
      <c r="AF58" s="262"/>
      <c r="AG58" s="262"/>
      <c r="AH58" s="262"/>
      <c r="AI58" s="262"/>
      <c r="CH58" s="252"/>
      <c r="CI58" s="252"/>
      <c r="CJ58" s="252"/>
      <c r="CK58" s="252"/>
    </row>
    <row r="59" spans="1:89" x14ac:dyDescent="0.4">
      <c r="B59" s="67"/>
      <c r="C59" s="67"/>
      <c r="D59" s="67"/>
      <c r="E59" s="67"/>
      <c r="F59" s="67"/>
      <c r="G59" s="67"/>
      <c r="H59" s="67"/>
      <c r="I59" s="67"/>
      <c r="J59" s="67"/>
      <c r="K59" s="106"/>
      <c r="L59" s="106"/>
      <c r="M59" s="67"/>
      <c r="CH59" s="252"/>
      <c r="CI59" s="252"/>
      <c r="CJ59" s="252"/>
      <c r="CK59" s="252"/>
    </row>
    <row r="60" spans="1:89" x14ac:dyDescent="0.4">
      <c r="B60" s="49" t="s">
        <v>131</v>
      </c>
      <c r="C60"/>
      <c r="D60"/>
      <c r="E60"/>
      <c r="F60"/>
      <c r="G60"/>
      <c r="H60"/>
      <c r="I60"/>
      <c r="J60"/>
      <c r="K60" s="108"/>
      <c r="L60" s="108"/>
      <c r="M60"/>
      <c r="CH60" s="252"/>
      <c r="CI60" s="252"/>
      <c r="CJ60" s="252"/>
      <c r="CK60" s="252"/>
    </row>
    <row r="61" spans="1:89" x14ac:dyDescent="0.4">
      <c r="A61">
        <v>1</v>
      </c>
      <c r="B61" s="49" t="s">
        <v>132</v>
      </c>
      <c r="C61"/>
      <c r="D61"/>
      <c r="E61"/>
      <c r="F61"/>
      <c r="G61"/>
      <c r="H61"/>
      <c r="I61"/>
      <c r="J61"/>
      <c r="K61" s="67"/>
      <c r="L61" s="67"/>
      <c r="M61"/>
      <c r="CH61" s="252"/>
      <c r="CI61" s="252"/>
      <c r="CJ61" s="252"/>
      <c r="CK61" s="252"/>
    </row>
    <row r="62" spans="1:89" x14ac:dyDescent="0.4">
      <c r="A62"/>
      <c r="B62" s="49" t="s">
        <v>134</v>
      </c>
      <c r="C62"/>
      <c r="D62"/>
      <c r="E62"/>
      <c r="F62"/>
      <c r="G62"/>
      <c r="H62"/>
      <c r="I62"/>
      <c r="J62"/>
      <c r="K62"/>
      <c r="L62"/>
      <c r="M62"/>
      <c r="CH62" s="252"/>
      <c r="CI62" s="252"/>
      <c r="CJ62" s="252"/>
      <c r="CK62" s="252"/>
    </row>
    <row r="63" spans="1:89" x14ac:dyDescent="0.4">
      <c r="A63">
        <v>2</v>
      </c>
      <c r="B63" s="49" t="s">
        <v>133</v>
      </c>
      <c r="C63"/>
      <c r="D63"/>
      <c r="E63"/>
      <c r="F63"/>
      <c r="G63"/>
      <c r="H63"/>
      <c r="I63"/>
      <c r="J63"/>
      <c r="K63"/>
      <c r="L63"/>
      <c r="M63"/>
      <c r="CH63" s="252"/>
      <c r="CI63" s="252"/>
      <c r="CJ63" s="252"/>
      <c r="CK63" s="252"/>
    </row>
    <row r="64" spans="1:89" x14ac:dyDescent="0.4">
      <c r="A64" s="252">
        <v>3</v>
      </c>
      <c r="B64" s="49" t="s">
        <v>234</v>
      </c>
      <c r="C64" s="97"/>
      <c r="D64" s="98"/>
      <c r="E64" s="99"/>
      <c r="F64" s="98"/>
      <c r="G64" s="262"/>
      <c r="H64" s="262"/>
      <c r="I64" s="262"/>
      <c r="J64" s="262"/>
      <c r="K64"/>
      <c r="L64"/>
      <c r="M64" s="67"/>
      <c r="CH64" s="252"/>
      <c r="CI64" s="252"/>
      <c r="CJ64" s="252"/>
      <c r="CK64" s="252"/>
    </row>
    <row r="65" spans="2:163" x14ac:dyDescent="0.4">
      <c r="B65" s="67"/>
      <c r="C65" s="97"/>
      <c r="D65" s="98"/>
      <c r="E65" s="99"/>
      <c r="F65" s="98"/>
      <c r="G65" s="262"/>
      <c r="H65" s="262"/>
      <c r="I65" s="262"/>
      <c r="J65" s="262"/>
      <c r="K65"/>
      <c r="L65"/>
      <c r="M65" s="67"/>
      <c r="CH65" s="252"/>
      <c r="CI65" s="252"/>
      <c r="CJ65" s="252"/>
      <c r="CK65" s="252"/>
    </row>
    <row r="66" spans="2:163" x14ac:dyDescent="0.4">
      <c r="B66" s="67"/>
      <c r="C66" s="97"/>
      <c r="D66" s="98"/>
      <c r="E66" s="99"/>
      <c r="F66" s="98"/>
      <c r="G66" s="262"/>
      <c r="H66" s="262"/>
      <c r="I66" s="262"/>
      <c r="J66" s="262"/>
      <c r="K66" s="262"/>
      <c r="L66" s="262"/>
      <c r="M66" s="67"/>
      <c r="CH66" s="252"/>
      <c r="CI66" s="252"/>
      <c r="CJ66" s="252"/>
      <c r="CK66" s="252"/>
    </row>
    <row r="67" spans="2:163" x14ac:dyDescent="0.4">
      <c r="B67" s="67"/>
      <c r="C67" s="262"/>
      <c r="D67" s="262"/>
      <c r="E67" s="260"/>
      <c r="F67" s="262"/>
      <c r="G67" s="262"/>
      <c r="H67" s="262"/>
      <c r="I67" s="262"/>
      <c r="J67" s="262"/>
      <c r="K67" s="262"/>
      <c r="L67" s="262"/>
      <c r="M67" s="67"/>
      <c r="CH67" s="252"/>
      <c r="CI67" s="252"/>
      <c r="CJ67" s="252"/>
      <c r="CK67" s="252"/>
    </row>
    <row r="68" spans="2:163" x14ac:dyDescent="0.4">
      <c r="B68" s="67"/>
      <c r="C68" s="97"/>
      <c r="D68" s="97"/>
      <c r="E68" s="91"/>
      <c r="F68" s="97"/>
      <c r="G68" s="97"/>
      <c r="H68" s="97"/>
      <c r="I68" s="97"/>
      <c r="J68" s="97"/>
      <c r="K68" s="262"/>
      <c r="L68" s="262"/>
      <c r="M68" s="67"/>
      <c r="CH68" s="252"/>
      <c r="CI68" s="252"/>
      <c r="CJ68" s="252"/>
      <c r="CK68" s="252"/>
    </row>
    <row r="69" spans="2:163" x14ac:dyDescent="0.4">
      <c r="B69" s="67"/>
      <c r="C69" s="262"/>
      <c r="D69" s="262"/>
      <c r="E69" s="260"/>
      <c r="F69" s="262"/>
      <c r="G69" s="262"/>
      <c r="H69" s="262"/>
      <c r="I69" s="262"/>
      <c r="J69" s="262"/>
      <c r="K69" s="262"/>
      <c r="L69" s="262"/>
      <c r="M69" s="67"/>
      <c r="CH69" s="252"/>
      <c r="CI69" s="252"/>
      <c r="CJ69" s="252"/>
      <c r="CK69" s="252"/>
    </row>
    <row r="70" spans="2:163" x14ac:dyDescent="0.4">
      <c r="B70" s="67"/>
      <c r="C70" s="262"/>
      <c r="D70" s="262"/>
      <c r="E70" s="260"/>
      <c r="F70" s="262"/>
      <c r="G70" s="262"/>
      <c r="H70" s="262"/>
      <c r="I70" s="262"/>
      <c r="J70" s="262"/>
      <c r="K70" s="97"/>
      <c r="L70" s="97"/>
      <c r="M70" s="67"/>
      <c r="CH70" s="252"/>
      <c r="CI70" s="252"/>
      <c r="CJ70" s="252"/>
      <c r="CK70" s="252"/>
    </row>
    <row r="71" spans="2:163" x14ac:dyDescent="0.4">
      <c r="B71" s="67"/>
      <c r="C71" s="262"/>
      <c r="D71" s="262"/>
      <c r="E71" s="260"/>
      <c r="F71" s="262"/>
      <c r="G71" s="262"/>
      <c r="H71" s="262"/>
      <c r="I71" s="262"/>
      <c r="J71" s="262"/>
      <c r="K71" s="262"/>
      <c r="L71" s="262"/>
      <c r="M71" s="67"/>
      <c r="CH71" s="252"/>
      <c r="CI71" s="252"/>
      <c r="CJ71" s="252"/>
      <c r="CK71" s="252"/>
    </row>
    <row r="72" spans="2:163" x14ac:dyDescent="0.4">
      <c r="B72" s="67"/>
      <c r="C72" s="262"/>
      <c r="D72" s="262"/>
      <c r="E72" s="260"/>
      <c r="F72" s="262"/>
      <c r="G72" s="262"/>
      <c r="H72" s="262"/>
      <c r="I72" s="262"/>
      <c r="J72" s="262"/>
      <c r="K72" s="262"/>
      <c r="L72" s="262"/>
      <c r="M72" s="67"/>
      <c r="CH72" s="252"/>
      <c r="CI72" s="252"/>
      <c r="CJ72" s="252"/>
      <c r="CK72" s="252"/>
    </row>
    <row r="73" spans="2:163" x14ac:dyDescent="0.4">
      <c r="B73" s="67"/>
      <c r="C73" s="262"/>
      <c r="D73" s="262"/>
      <c r="E73" s="260"/>
      <c r="F73" s="262"/>
      <c r="G73" s="262"/>
      <c r="H73" s="262"/>
      <c r="I73" s="262"/>
      <c r="J73" s="262"/>
      <c r="K73" s="262"/>
      <c r="L73" s="262"/>
      <c r="M73" s="67"/>
      <c r="CH73" s="252"/>
      <c r="CI73" s="252"/>
      <c r="CJ73" s="252"/>
      <c r="CK73" s="252"/>
    </row>
    <row r="74" spans="2:163" x14ac:dyDescent="0.4">
      <c r="B74" s="67"/>
      <c r="C74" s="67"/>
      <c r="D74" s="67"/>
      <c r="E74" s="260"/>
      <c r="F74" s="67"/>
      <c r="G74" s="67"/>
      <c r="H74" s="67"/>
      <c r="I74" s="67"/>
      <c r="J74" s="67"/>
      <c r="K74" s="262"/>
      <c r="L74" s="262"/>
      <c r="M74" s="67"/>
      <c r="CH74" s="252"/>
      <c r="CI74" s="252"/>
      <c r="CJ74" s="252"/>
      <c r="CK74" s="252"/>
    </row>
    <row r="75" spans="2:163" x14ac:dyDescent="0.4">
      <c r="B75" s="67"/>
      <c r="C75" s="67"/>
      <c r="D75" s="67"/>
      <c r="E75" s="67"/>
      <c r="F75" s="67"/>
      <c r="G75" s="67"/>
      <c r="H75" s="67"/>
      <c r="I75" s="67"/>
      <c r="J75" s="67"/>
      <c r="K75" s="262"/>
      <c r="L75" s="262"/>
      <c r="M75" s="67"/>
      <c r="CH75" s="252"/>
      <c r="CI75" s="252"/>
      <c r="CJ75" s="252"/>
      <c r="CK75" s="252"/>
    </row>
    <row r="76" spans="2:163" x14ac:dyDescent="0.4">
      <c r="B76" s="67"/>
      <c r="C76" s="67"/>
      <c r="D76" s="67"/>
      <c r="E76" s="67"/>
      <c r="F76" s="67"/>
      <c r="G76" s="67"/>
      <c r="H76" s="67"/>
      <c r="I76" s="67"/>
      <c r="J76" s="67"/>
      <c r="K76" s="67"/>
      <c r="L76" s="67"/>
      <c r="M76" s="67"/>
      <c r="CH76" s="252"/>
      <c r="CI76" s="252"/>
      <c r="CJ76" s="252"/>
      <c r="CK76" s="252"/>
    </row>
    <row r="77" spans="2:163" x14ac:dyDescent="0.4">
      <c r="B77" s="67"/>
      <c r="C77" s="67"/>
      <c r="D77" s="67"/>
      <c r="E77" s="67"/>
      <c r="F77" s="67"/>
      <c r="G77" s="67"/>
      <c r="H77" s="67"/>
      <c r="I77" s="67"/>
      <c r="J77" s="67"/>
      <c r="K77" s="67"/>
      <c r="L77" s="67"/>
      <c r="M77" s="67"/>
      <c r="CH77" s="252"/>
      <c r="CI77" s="252"/>
      <c r="CJ77" s="252"/>
      <c r="CK77" s="252"/>
    </row>
    <row r="78" spans="2:163" x14ac:dyDescent="0.4">
      <c r="B78" s="67"/>
      <c r="C78" s="67"/>
      <c r="D78" s="67"/>
      <c r="E78" s="67"/>
      <c r="F78" s="67"/>
      <c r="G78" s="67"/>
      <c r="H78" s="67"/>
      <c r="I78" s="67"/>
      <c r="J78" s="67"/>
      <c r="K78" s="67"/>
      <c r="L78" s="67"/>
      <c r="M78" s="67"/>
      <c r="CH78" s="252"/>
      <c r="CI78" s="252"/>
      <c r="CJ78" s="252"/>
      <c r="CK78" s="252"/>
    </row>
    <row r="79" spans="2:163" x14ac:dyDescent="0.4">
      <c r="J79" s="67"/>
      <c r="K79" s="67"/>
      <c r="L79" s="67"/>
      <c r="M79" s="67"/>
      <c r="Q79" s="81"/>
      <c r="R79" s="86"/>
      <c r="S79" s="86"/>
      <c r="U79" s="100"/>
      <c r="Y79" s="260"/>
      <c r="Z79" s="260"/>
      <c r="AA79" s="260"/>
      <c r="AB79" s="81"/>
      <c r="AC79" s="85"/>
      <c r="AD79" s="86"/>
      <c r="AE79" s="101"/>
      <c r="AF79" s="86"/>
      <c r="AG79" s="86"/>
      <c r="AH79" s="260"/>
      <c r="AI79" s="81"/>
      <c r="AJ79" s="86"/>
      <c r="AK79" s="86"/>
      <c r="AM79" s="100"/>
      <c r="AO79" s="100"/>
      <c r="AP79" s="260"/>
      <c r="AQ79" s="260"/>
      <c r="AR79" s="81"/>
      <c r="AS79" s="85"/>
      <c r="AT79" s="86"/>
      <c r="AU79" s="101"/>
      <c r="AV79" s="86"/>
      <c r="AW79" s="86"/>
      <c r="AX79" s="260"/>
      <c r="AY79" s="81"/>
      <c r="AZ79" s="86"/>
      <c r="BA79" s="86"/>
      <c r="BC79" s="100"/>
      <c r="BE79" s="100"/>
      <c r="BF79" s="260"/>
      <c r="BG79" s="260"/>
      <c r="BH79" s="81"/>
      <c r="BI79" s="85"/>
      <c r="BJ79" s="86"/>
      <c r="BK79" s="101"/>
      <c r="BL79" s="86"/>
      <c r="BM79" s="86"/>
      <c r="BN79" s="260"/>
      <c r="BO79" s="81"/>
      <c r="BP79" s="86"/>
      <c r="BQ79" s="86"/>
      <c r="CK79" s="252"/>
    </row>
    <row r="80" spans="2:163" x14ac:dyDescent="0.4">
      <c r="J80" s="67"/>
      <c r="K80" s="67"/>
      <c r="L80" s="67"/>
      <c r="M80" s="67"/>
      <c r="AB80" s="262"/>
      <c r="AC80" s="91"/>
      <c r="AD80" s="97"/>
      <c r="AE80" s="97"/>
      <c r="AF80" s="91"/>
      <c r="AG80" s="97"/>
      <c r="AH80" s="97"/>
      <c r="AI80" s="97"/>
      <c r="AJ80" s="97"/>
      <c r="AK80" s="97"/>
      <c r="AR80" s="262"/>
      <c r="AS80" s="91"/>
      <c r="AT80" s="97"/>
      <c r="AU80" s="97"/>
      <c r="AV80" s="91"/>
      <c r="AW80" s="97"/>
      <c r="AX80" s="97"/>
      <c r="AY80" s="97"/>
      <c r="AZ80" s="97"/>
      <c r="BA80" s="97"/>
      <c r="BH80" s="262"/>
      <c r="BI80" s="91"/>
      <c r="BJ80" s="97"/>
      <c r="BK80" s="97"/>
      <c r="BL80" s="91"/>
      <c r="BM80" s="97"/>
      <c r="BN80" s="97"/>
      <c r="BO80" s="97"/>
      <c r="BP80" s="97"/>
      <c r="BQ80" s="97"/>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c r="EO80" s="66"/>
      <c r="EP80" s="66"/>
      <c r="EQ80" s="66"/>
      <c r="ER80" s="66"/>
      <c r="ES80" s="66"/>
      <c r="ET80" s="66"/>
      <c r="EU80" s="66"/>
      <c r="EV80" s="66"/>
      <c r="EW80" s="66"/>
      <c r="EX80" s="66"/>
      <c r="EY80" s="66"/>
      <c r="EZ80" s="66"/>
      <c r="FA80" s="66"/>
      <c r="FB80" s="66"/>
      <c r="FC80" s="66"/>
      <c r="FD80" s="66"/>
      <c r="FE80" s="66"/>
      <c r="FF80" s="66"/>
      <c r="FG80" s="66"/>
    </row>
    <row r="81" spans="1:163" x14ac:dyDescent="0.4">
      <c r="J81" s="67"/>
      <c r="K81" s="67"/>
      <c r="L81" s="67"/>
      <c r="M81" s="67"/>
      <c r="AB81" s="262"/>
      <c r="AC81" s="91"/>
      <c r="AD81" s="97"/>
      <c r="AE81" s="97"/>
      <c r="AF81" s="91"/>
      <c r="AG81" s="97"/>
      <c r="AH81" s="97"/>
      <c r="AI81" s="97"/>
      <c r="AJ81" s="97"/>
      <c r="AK81" s="97"/>
      <c r="AR81" s="262"/>
      <c r="AS81" s="91"/>
      <c r="AT81" s="97"/>
      <c r="AU81" s="97"/>
      <c r="AV81" s="91"/>
      <c r="AW81" s="97"/>
      <c r="AX81" s="97"/>
      <c r="AY81" s="97"/>
      <c r="AZ81" s="97"/>
      <c r="BA81" s="97"/>
      <c r="BH81" s="262"/>
      <c r="BI81" s="91"/>
      <c r="BJ81" s="97"/>
      <c r="BK81" s="97"/>
      <c r="BL81" s="91"/>
      <c r="BM81" s="97"/>
      <c r="BN81" s="97"/>
      <c r="BO81" s="97"/>
      <c r="BP81" s="97"/>
      <c r="BQ81" s="97"/>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66"/>
      <c r="FE81" s="66"/>
      <c r="FF81" s="66"/>
      <c r="FG81" s="66"/>
    </row>
    <row r="82" spans="1:163" x14ac:dyDescent="0.4">
      <c r="J82" s="67"/>
      <c r="K82" s="67"/>
      <c r="L82" s="67"/>
      <c r="M82" s="67"/>
      <c r="AB82" s="262"/>
      <c r="AC82" s="91"/>
      <c r="AD82" s="97"/>
      <c r="AE82" s="97"/>
      <c r="AF82" s="91"/>
      <c r="AG82" s="97"/>
      <c r="AH82" s="97"/>
      <c r="AI82" s="97"/>
      <c r="AJ82" s="97"/>
      <c r="AK82" s="97"/>
      <c r="AR82" s="262"/>
      <c r="AS82" s="91"/>
      <c r="AT82" s="97"/>
      <c r="AU82" s="97"/>
      <c r="AV82" s="91"/>
      <c r="AW82" s="97"/>
      <c r="AX82" s="97"/>
      <c r="AY82" s="97"/>
      <c r="AZ82" s="97"/>
      <c r="BA82" s="97"/>
      <c r="BH82" s="262"/>
      <c r="BI82" s="91"/>
      <c r="BJ82" s="97"/>
      <c r="BK82" s="97"/>
      <c r="BL82" s="91"/>
      <c r="BM82" s="97"/>
      <c r="BN82" s="97"/>
      <c r="BO82" s="97"/>
      <c r="BP82" s="97"/>
      <c r="BQ82" s="97"/>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6"/>
      <c r="FF82" s="66"/>
      <c r="FG82" s="66"/>
    </row>
    <row r="83" spans="1:163" x14ac:dyDescent="0.4">
      <c r="J83" s="67"/>
      <c r="K83" s="67"/>
      <c r="L83" s="67"/>
      <c r="M83" s="67"/>
      <c r="AB83" s="262"/>
      <c r="AC83" s="91"/>
      <c r="AD83" s="262"/>
      <c r="AE83" s="98"/>
      <c r="AF83" s="99"/>
      <c r="AG83" s="98"/>
      <c r="AH83" s="262"/>
      <c r="AI83" s="262"/>
      <c r="AJ83" s="262"/>
      <c r="AK83" s="262"/>
      <c r="AR83" s="262"/>
      <c r="AS83" s="91"/>
      <c r="AT83" s="262"/>
      <c r="AU83" s="98"/>
      <c r="AV83" s="99"/>
      <c r="AW83" s="98"/>
      <c r="AX83" s="262"/>
      <c r="AY83" s="262"/>
      <c r="AZ83" s="262"/>
      <c r="BA83" s="262"/>
      <c r="BH83" s="262"/>
      <c r="BI83" s="91"/>
      <c r="BJ83" s="262"/>
      <c r="BK83" s="98"/>
      <c r="BL83" s="99"/>
      <c r="BM83" s="98"/>
      <c r="BN83" s="262"/>
      <c r="BO83" s="262"/>
      <c r="BP83" s="262"/>
      <c r="BQ83" s="262"/>
    </row>
    <row r="84" spans="1:163" x14ac:dyDescent="0.4">
      <c r="J84" s="67"/>
      <c r="K84" s="67"/>
      <c r="L84" s="67"/>
      <c r="M84" s="67"/>
      <c r="AB84" s="262"/>
      <c r="AC84" s="91"/>
      <c r="AD84" s="97"/>
      <c r="AE84" s="98"/>
      <c r="AF84" s="99"/>
      <c r="AG84" s="98"/>
      <c r="AH84" s="262"/>
      <c r="AI84" s="262"/>
      <c r="AJ84" s="262"/>
      <c r="AK84" s="262"/>
      <c r="AR84" s="262"/>
      <c r="AS84" s="91"/>
      <c r="AT84" s="97"/>
      <c r="AU84" s="98"/>
      <c r="AV84" s="99"/>
      <c r="AW84" s="98"/>
      <c r="AX84" s="262"/>
      <c r="AY84" s="262"/>
      <c r="AZ84" s="262"/>
      <c r="BA84" s="262"/>
      <c r="BH84" s="262"/>
      <c r="BI84" s="91"/>
      <c r="BJ84" s="97"/>
      <c r="BK84" s="98"/>
      <c r="BL84" s="99"/>
      <c r="BM84" s="98"/>
      <c r="BN84" s="262"/>
      <c r="BO84" s="262"/>
      <c r="BP84" s="262"/>
      <c r="BQ84" s="262"/>
    </row>
    <row r="85" spans="1:163" x14ac:dyDescent="0.4">
      <c r="J85" s="67"/>
      <c r="K85" s="67"/>
      <c r="L85" s="67"/>
      <c r="M85" s="67"/>
      <c r="AB85" s="262"/>
      <c r="AC85" s="91"/>
      <c r="AD85" s="97"/>
      <c r="AE85" s="98"/>
      <c r="AF85" s="99"/>
      <c r="AG85" s="98"/>
      <c r="AH85" s="262"/>
      <c r="AI85" s="262"/>
      <c r="AJ85" s="262"/>
      <c r="AK85" s="262"/>
      <c r="AR85" s="262"/>
      <c r="AS85" s="91"/>
      <c r="AT85" s="97"/>
      <c r="AU85" s="98"/>
      <c r="AV85" s="99"/>
      <c r="AW85" s="98"/>
      <c r="AX85" s="262"/>
      <c r="AY85" s="262"/>
      <c r="AZ85" s="262"/>
      <c r="BA85" s="262"/>
      <c r="BH85" s="262"/>
      <c r="BI85" s="91"/>
      <c r="BJ85" s="97"/>
      <c r="BK85" s="98"/>
      <c r="BL85" s="99"/>
      <c r="BM85" s="98"/>
      <c r="BN85" s="262"/>
      <c r="BO85" s="262"/>
      <c r="BP85" s="262"/>
      <c r="BQ85" s="262"/>
    </row>
    <row r="86" spans="1:163" x14ac:dyDescent="0.4">
      <c r="J86" s="67"/>
      <c r="K86" s="67"/>
      <c r="L86" s="67"/>
      <c r="M86" s="67"/>
      <c r="AB86" s="262"/>
      <c r="AC86" s="102"/>
      <c r="AD86" s="97"/>
      <c r="AE86" s="98"/>
      <c r="AF86" s="99"/>
      <c r="AG86" s="98"/>
      <c r="AH86" s="262"/>
      <c r="AI86" s="262"/>
      <c r="AJ86" s="262"/>
      <c r="AK86" s="262"/>
      <c r="AR86" s="262"/>
      <c r="AS86" s="102"/>
      <c r="AT86" s="97"/>
      <c r="AU86" s="98"/>
      <c r="AV86" s="99"/>
      <c r="AW86" s="98"/>
      <c r="AX86" s="262"/>
      <c r="AY86" s="262"/>
      <c r="AZ86" s="262"/>
      <c r="BA86" s="262"/>
      <c r="BH86" s="262"/>
      <c r="BI86" s="102"/>
      <c r="BJ86" s="97"/>
      <c r="BK86" s="98"/>
      <c r="BL86" s="99"/>
      <c r="BM86" s="98"/>
      <c r="BN86" s="262"/>
      <c r="BO86" s="262"/>
      <c r="BP86" s="262"/>
      <c r="BQ86" s="262"/>
    </row>
    <row r="87" spans="1:163" x14ac:dyDescent="0.4">
      <c r="J87" s="67"/>
      <c r="K87" s="67"/>
      <c r="L87" s="67"/>
      <c r="M87" s="67"/>
      <c r="AB87" s="97"/>
      <c r="AC87" s="91"/>
      <c r="AD87" s="97"/>
      <c r="AE87" s="97"/>
      <c r="AF87" s="91"/>
      <c r="AG87" s="97"/>
      <c r="AH87" s="97"/>
      <c r="AI87" s="97"/>
      <c r="AJ87" s="97"/>
      <c r="AK87" s="97"/>
      <c r="AR87" s="97"/>
      <c r="AS87" s="91"/>
      <c r="AT87" s="97"/>
      <c r="AU87" s="97"/>
      <c r="AV87" s="91"/>
      <c r="AW87" s="97"/>
      <c r="AX87" s="97"/>
      <c r="AY87" s="97"/>
      <c r="AZ87" s="97"/>
      <c r="BA87" s="97"/>
      <c r="BH87" s="97"/>
      <c r="BI87" s="91"/>
      <c r="BJ87" s="97"/>
      <c r="BK87" s="97"/>
      <c r="BL87" s="91"/>
      <c r="BM87" s="97"/>
      <c r="BN87" s="97"/>
      <c r="BO87" s="97"/>
      <c r="BP87" s="97"/>
      <c r="BQ87" s="97"/>
    </row>
    <row r="88" spans="1:163" x14ac:dyDescent="0.4">
      <c r="J88" s="67"/>
      <c r="K88" s="67"/>
      <c r="L88" s="67"/>
      <c r="M88" s="67"/>
      <c r="AB88" s="262"/>
      <c r="AC88" s="260"/>
      <c r="AD88" s="262"/>
      <c r="AE88" s="262"/>
      <c r="AF88" s="260"/>
      <c r="AG88" s="262"/>
      <c r="AH88" s="262"/>
      <c r="AI88" s="262"/>
      <c r="AJ88" s="262"/>
      <c r="AK88" s="262"/>
      <c r="AR88" s="262"/>
      <c r="AS88" s="260"/>
      <c r="AT88" s="262"/>
      <c r="AU88" s="262"/>
      <c r="AV88" s="260"/>
      <c r="AW88" s="262"/>
      <c r="AX88" s="262"/>
      <c r="AY88" s="262"/>
      <c r="AZ88" s="262"/>
      <c r="BA88" s="262"/>
      <c r="BH88" s="262"/>
      <c r="BI88" s="260"/>
      <c r="BJ88" s="262"/>
      <c r="BK88" s="262"/>
      <c r="BL88" s="260"/>
      <c r="BM88" s="262"/>
      <c r="BN88" s="262"/>
      <c r="BO88" s="262"/>
      <c r="BP88" s="262"/>
      <c r="BQ88" s="262"/>
    </row>
    <row r="89" spans="1:163" x14ac:dyDescent="0.4">
      <c r="J89" s="67"/>
      <c r="K89" s="67"/>
      <c r="L89" s="67"/>
      <c r="M89" s="67"/>
      <c r="AB89" s="262"/>
      <c r="AC89" s="260"/>
      <c r="AD89" s="262"/>
      <c r="AE89" s="262"/>
      <c r="AF89" s="260"/>
      <c r="AG89" s="262"/>
      <c r="AH89" s="262"/>
      <c r="AI89" s="262"/>
      <c r="AJ89" s="262"/>
      <c r="AK89" s="262"/>
      <c r="AR89" s="262"/>
      <c r="AS89" s="260"/>
      <c r="AT89" s="262"/>
      <c r="AU89" s="262"/>
      <c r="AV89" s="260"/>
      <c r="AW89" s="262"/>
      <c r="AX89" s="262"/>
      <c r="AY89" s="262"/>
      <c r="AZ89" s="262"/>
      <c r="BA89" s="262"/>
      <c r="BH89" s="262"/>
      <c r="BI89" s="260"/>
      <c r="BJ89" s="262"/>
      <c r="BK89" s="262"/>
      <c r="BL89" s="260"/>
      <c r="BM89" s="262"/>
      <c r="BN89" s="262"/>
      <c r="BO89" s="262"/>
      <c r="BP89" s="262"/>
      <c r="BQ89" s="262"/>
    </row>
    <row r="90" spans="1:163" x14ac:dyDescent="0.4">
      <c r="J90" s="67"/>
      <c r="K90" s="67"/>
      <c r="L90" s="67"/>
      <c r="M90" s="67"/>
      <c r="AB90" s="262"/>
      <c r="AC90" s="103"/>
      <c r="AD90" s="262"/>
      <c r="AE90" s="262"/>
      <c r="AF90" s="260"/>
      <c r="AG90" s="262"/>
      <c r="AH90" s="262"/>
      <c r="AI90" s="262"/>
      <c r="AJ90" s="262"/>
      <c r="AK90" s="262"/>
      <c r="AR90" s="262"/>
      <c r="AS90" s="103"/>
      <c r="AT90" s="262"/>
      <c r="AU90" s="262"/>
      <c r="AV90" s="260"/>
      <c r="AW90" s="262"/>
      <c r="AX90" s="262"/>
      <c r="AY90" s="262"/>
      <c r="AZ90" s="262"/>
      <c r="BA90" s="262"/>
      <c r="BH90" s="262"/>
      <c r="BI90" s="103"/>
      <c r="BJ90" s="262"/>
      <c r="BK90" s="262"/>
      <c r="BL90" s="260"/>
      <c r="BM90" s="262"/>
      <c r="BN90" s="262"/>
      <c r="BO90" s="262"/>
      <c r="BP90" s="262"/>
      <c r="BQ90" s="262"/>
    </row>
    <row r="91" spans="1:163" s="66" customFormat="1" x14ac:dyDescent="0.4">
      <c r="A91" s="252"/>
      <c r="B91" s="252"/>
      <c r="C91" s="252"/>
      <c r="D91" s="252"/>
      <c r="E91" s="252"/>
      <c r="F91" s="252"/>
      <c r="G91" s="252"/>
      <c r="H91" s="252"/>
      <c r="I91" s="252"/>
      <c r="J91" s="67"/>
      <c r="K91" s="67"/>
      <c r="L91" s="67"/>
      <c r="M91" s="67"/>
      <c r="N91" s="67"/>
      <c r="O91" s="67"/>
      <c r="P91" s="67"/>
      <c r="Q91" s="67"/>
      <c r="R91" s="67"/>
      <c r="S91" s="67"/>
      <c r="T91" s="67"/>
      <c r="U91" s="67"/>
      <c r="V91" s="67"/>
      <c r="W91" s="67"/>
      <c r="X91" s="67"/>
      <c r="Y91" s="67"/>
      <c r="Z91" s="67"/>
      <c r="AA91" s="67"/>
      <c r="AB91" s="262"/>
      <c r="AC91" s="81"/>
      <c r="AD91" s="262"/>
      <c r="AE91" s="262"/>
      <c r="AF91" s="260"/>
      <c r="AG91" s="262"/>
      <c r="AH91" s="262"/>
      <c r="AI91" s="262"/>
      <c r="AJ91" s="262"/>
      <c r="AK91" s="262"/>
      <c r="AL91" s="67"/>
      <c r="AM91" s="67"/>
      <c r="AN91" s="67"/>
      <c r="AO91" s="67"/>
      <c r="AP91" s="67"/>
      <c r="AQ91" s="67"/>
      <c r="AR91" s="262"/>
      <c r="AS91" s="81"/>
      <c r="AT91" s="262"/>
      <c r="AU91" s="262"/>
      <c r="AV91" s="260"/>
      <c r="AW91" s="262"/>
      <c r="AX91" s="262"/>
      <c r="AY91" s="262"/>
      <c r="AZ91" s="262"/>
      <c r="BA91" s="262"/>
      <c r="BB91" s="67"/>
      <c r="BC91" s="67"/>
      <c r="BD91" s="67"/>
      <c r="BE91" s="67"/>
      <c r="BF91" s="67"/>
      <c r="BG91" s="67"/>
      <c r="BH91" s="262"/>
      <c r="BI91" s="81"/>
      <c r="BJ91" s="262"/>
      <c r="BK91" s="262"/>
      <c r="BL91" s="260"/>
      <c r="BM91" s="262"/>
      <c r="BN91" s="262"/>
      <c r="BO91" s="262"/>
      <c r="BP91" s="262"/>
      <c r="BQ91" s="262"/>
      <c r="BR91" s="67"/>
      <c r="BS91" s="67"/>
      <c r="BT91" s="67"/>
      <c r="BU91" s="67"/>
      <c r="BV91" s="67"/>
      <c r="BW91" s="67"/>
      <c r="BX91" s="67"/>
      <c r="BY91" s="67"/>
      <c r="BZ91" s="67"/>
      <c r="CA91" s="67"/>
      <c r="CB91" s="67"/>
      <c r="CC91" s="67"/>
      <c r="CD91" s="67"/>
      <c r="CE91" s="67"/>
      <c r="CF91" s="67"/>
      <c r="CG91" s="67"/>
      <c r="CH91" s="67"/>
      <c r="CI91" s="67"/>
      <c r="CJ91" s="67"/>
      <c r="CK91" s="67"/>
    </row>
    <row r="92" spans="1:163" s="66" customFormat="1" x14ac:dyDescent="0.4">
      <c r="A92" s="252"/>
      <c r="B92" s="252"/>
      <c r="C92" s="252"/>
      <c r="D92" s="252"/>
      <c r="E92" s="252"/>
      <c r="F92" s="252"/>
      <c r="G92" s="252"/>
      <c r="H92" s="252"/>
      <c r="I92" s="252"/>
      <c r="J92" s="67"/>
      <c r="K92" s="67"/>
      <c r="L92" s="67"/>
      <c r="M92" s="67"/>
      <c r="N92" s="67"/>
      <c r="O92" s="67"/>
      <c r="P92" s="67"/>
      <c r="Q92" s="67"/>
      <c r="R92" s="67"/>
      <c r="S92" s="67"/>
      <c r="T92" s="67"/>
      <c r="U92" s="67"/>
      <c r="V92" s="67"/>
      <c r="W92" s="67"/>
      <c r="X92" s="67"/>
      <c r="Y92" s="67"/>
      <c r="Z92" s="67"/>
      <c r="AA92" s="67"/>
      <c r="AB92" s="262"/>
      <c r="AC92" s="81"/>
      <c r="AD92" s="262"/>
      <c r="AE92" s="262"/>
      <c r="AF92" s="260"/>
      <c r="AG92" s="262"/>
      <c r="AH92" s="262"/>
      <c r="AI92" s="262"/>
      <c r="AJ92" s="262"/>
      <c r="AK92" s="262"/>
      <c r="AL92" s="67"/>
      <c r="AM92" s="67"/>
      <c r="AN92" s="67"/>
      <c r="AO92" s="67"/>
      <c r="AP92" s="67"/>
      <c r="AQ92" s="67"/>
      <c r="AR92" s="262"/>
      <c r="AS92" s="81"/>
      <c r="AT92" s="262"/>
      <c r="AU92" s="262"/>
      <c r="AV92" s="260"/>
      <c r="AW92" s="262"/>
      <c r="AX92" s="262"/>
      <c r="AY92" s="262"/>
      <c r="AZ92" s="262"/>
      <c r="BA92" s="262"/>
      <c r="BB92" s="67"/>
      <c r="BC92" s="67"/>
      <c r="BD92" s="67"/>
      <c r="BE92" s="67"/>
      <c r="BF92" s="67"/>
      <c r="BG92" s="67"/>
      <c r="BH92" s="262"/>
      <c r="BI92" s="81"/>
      <c r="BJ92" s="262"/>
      <c r="BK92" s="262"/>
      <c r="BL92" s="260"/>
      <c r="BM92" s="262"/>
      <c r="BN92" s="262"/>
      <c r="BO92" s="262"/>
      <c r="BP92" s="262"/>
      <c r="BQ92" s="262"/>
      <c r="BR92" s="67"/>
      <c r="BS92" s="67"/>
      <c r="BT92" s="67"/>
      <c r="BU92" s="67"/>
      <c r="BV92" s="67"/>
      <c r="BW92" s="67"/>
      <c r="BX92" s="67"/>
      <c r="BY92" s="67"/>
      <c r="BZ92" s="67"/>
      <c r="CA92" s="67"/>
      <c r="CB92" s="67"/>
      <c r="CC92" s="67"/>
      <c r="CD92" s="67"/>
      <c r="CE92" s="67"/>
      <c r="CF92" s="67"/>
      <c r="CG92" s="67"/>
      <c r="CH92" s="67"/>
      <c r="CI92" s="67"/>
      <c r="CJ92" s="67"/>
      <c r="CK92" s="67"/>
    </row>
    <row r="93" spans="1:163" s="66" customFormat="1" x14ac:dyDescent="0.4">
      <c r="A93" s="252"/>
      <c r="B93" s="252"/>
      <c r="C93" s="252"/>
      <c r="D93" s="252"/>
      <c r="E93" s="252"/>
      <c r="F93" s="252"/>
      <c r="G93" s="252"/>
      <c r="H93" s="252"/>
      <c r="I93" s="252"/>
      <c r="J93" s="67"/>
      <c r="K93" s="67"/>
      <c r="L93" s="67"/>
      <c r="M93" s="67"/>
      <c r="N93" s="67"/>
      <c r="O93" s="67"/>
      <c r="P93" s="67"/>
      <c r="Q93" s="67"/>
      <c r="R93" s="67"/>
      <c r="S93" s="67"/>
      <c r="T93" s="67"/>
      <c r="U93" s="67"/>
      <c r="V93" s="67"/>
      <c r="W93" s="67"/>
      <c r="X93" s="67"/>
      <c r="Y93" s="67"/>
      <c r="Z93" s="67"/>
      <c r="AA93" s="67"/>
      <c r="AB93" s="67"/>
      <c r="AC93" s="67"/>
      <c r="AD93" s="67"/>
      <c r="AE93" s="67"/>
      <c r="AF93" s="260"/>
      <c r="AG93" s="67"/>
      <c r="AH93" s="67"/>
      <c r="AI93" s="67"/>
      <c r="AJ93" s="67"/>
      <c r="AK93" s="67"/>
      <c r="AL93" s="67"/>
      <c r="AM93" s="67"/>
      <c r="AN93" s="67"/>
      <c r="AO93" s="67"/>
      <c r="AP93" s="67"/>
      <c r="AQ93" s="67"/>
      <c r="AR93" s="67"/>
      <c r="AS93" s="67"/>
      <c r="AT93" s="67"/>
      <c r="AU93" s="67"/>
      <c r="AV93" s="260"/>
      <c r="AW93" s="67"/>
      <c r="AX93" s="67"/>
      <c r="AY93" s="67"/>
      <c r="AZ93" s="67"/>
      <c r="BA93" s="67"/>
      <c r="BB93" s="67"/>
      <c r="BC93" s="67"/>
      <c r="BD93" s="67"/>
      <c r="BE93" s="67"/>
      <c r="BF93" s="67"/>
      <c r="BG93" s="67"/>
      <c r="BH93" s="67"/>
      <c r="BI93" s="67"/>
      <c r="BJ93" s="67"/>
      <c r="BK93" s="67"/>
      <c r="BL93" s="260"/>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67"/>
    </row>
    <row r="94" spans="1:163" s="66" customFormat="1" x14ac:dyDescent="0.4">
      <c r="A94" s="252"/>
      <c r="B94" s="252"/>
      <c r="C94" s="252"/>
      <c r="D94" s="252"/>
      <c r="E94" s="252"/>
      <c r="F94" s="252"/>
      <c r="G94" s="252"/>
      <c r="H94" s="252"/>
      <c r="I94" s="252"/>
      <c r="J94" s="67"/>
      <c r="K94" s="67"/>
      <c r="L94" s="67"/>
      <c r="M94" s="67"/>
      <c r="N94" s="67"/>
      <c r="O94" s="67"/>
      <c r="P94" s="67"/>
      <c r="Q94" s="67"/>
      <c r="R94" s="67"/>
      <c r="S94" s="67"/>
      <c r="T94" s="67"/>
      <c r="U94" s="67"/>
      <c r="V94" s="67"/>
      <c r="W94" s="67"/>
      <c r="X94" s="67"/>
      <c r="Y94" s="67"/>
      <c r="Z94" s="67"/>
      <c r="AA94" s="67"/>
      <c r="AB94" s="67"/>
      <c r="AC94" s="67"/>
      <c r="AD94" s="67"/>
      <c r="AE94" s="67"/>
      <c r="AF94" s="260"/>
      <c r="AG94" s="67"/>
      <c r="AH94" s="67"/>
      <c r="AI94" s="67"/>
      <c r="AJ94" s="67"/>
      <c r="AK94" s="67"/>
      <c r="AL94" s="67"/>
      <c r="AM94" s="67"/>
      <c r="AN94" s="67"/>
      <c r="AO94" s="67"/>
      <c r="AP94" s="67"/>
      <c r="AQ94" s="67"/>
      <c r="AR94" s="67"/>
      <c r="AS94" s="67"/>
      <c r="AT94" s="67"/>
      <c r="AU94" s="67"/>
      <c r="AV94" s="260"/>
      <c r="AW94" s="67"/>
      <c r="AX94" s="67"/>
      <c r="AY94" s="67"/>
      <c r="AZ94" s="67"/>
      <c r="BA94" s="67"/>
      <c r="BB94" s="67"/>
      <c r="BC94" s="67"/>
      <c r="BD94" s="67"/>
      <c r="BE94" s="67"/>
      <c r="BF94" s="67"/>
      <c r="BG94" s="67"/>
      <c r="BH94" s="67"/>
      <c r="BI94" s="67"/>
      <c r="BJ94" s="67"/>
      <c r="BK94" s="67"/>
      <c r="BL94" s="260"/>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row>
    <row r="95" spans="1:163" x14ac:dyDescent="0.4">
      <c r="J95" s="67"/>
      <c r="K95" s="67"/>
      <c r="L95" s="67"/>
      <c r="M95" s="67"/>
      <c r="AF95" s="260"/>
      <c r="AV95" s="260"/>
      <c r="BL95" s="260"/>
    </row>
    <row r="96" spans="1:163" x14ac:dyDescent="0.4">
      <c r="J96" s="67"/>
      <c r="K96" s="67"/>
      <c r="L96" s="67"/>
      <c r="M96" s="67"/>
      <c r="AF96" s="260"/>
      <c r="AV96" s="260"/>
      <c r="BL96" s="260"/>
    </row>
    <row r="97" spans="10:64" x14ac:dyDescent="0.4">
      <c r="J97" s="67"/>
      <c r="K97" s="67"/>
      <c r="L97" s="67"/>
      <c r="M97" s="67"/>
      <c r="AF97" s="260"/>
      <c r="AV97" s="260"/>
      <c r="BL97" s="260"/>
    </row>
    <row r="98" spans="10:64" x14ac:dyDescent="0.4">
      <c r="J98" s="67"/>
      <c r="K98" s="67"/>
      <c r="L98" s="67"/>
      <c r="M98" s="67"/>
      <c r="AF98" s="260"/>
      <c r="AV98" s="260"/>
      <c r="BL98" s="260"/>
    </row>
    <row r="99" spans="10:64" x14ac:dyDescent="0.4">
      <c r="J99" s="67"/>
      <c r="K99" s="67"/>
      <c r="L99" s="67"/>
      <c r="M99" s="67"/>
      <c r="AF99" s="260"/>
      <c r="AV99" s="260"/>
      <c r="BL99" s="260"/>
    </row>
    <row r="100" spans="10:64" x14ac:dyDescent="0.4">
      <c r="J100" s="67"/>
      <c r="K100" s="67"/>
      <c r="L100" s="67"/>
      <c r="M100" s="67"/>
      <c r="AF100" s="260"/>
      <c r="AV100" s="260"/>
      <c r="BL100" s="260"/>
    </row>
    <row r="101" spans="10:64" x14ac:dyDescent="0.4">
      <c r="J101" s="67"/>
      <c r="K101" s="67"/>
      <c r="L101" s="67"/>
      <c r="M101" s="67"/>
      <c r="AF101" s="260"/>
      <c r="AV101" s="260"/>
      <c r="BL101" s="260"/>
    </row>
    <row r="102" spans="10:64" x14ac:dyDescent="0.4">
      <c r="K102" s="67"/>
      <c r="L102" s="67"/>
      <c r="AF102" s="260"/>
      <c r="AV102" s="260"/>
      <c r="BL102" s="260"/>
    </row>
    <row r="103" spans="10:64" x14ac:dyDescent="0.4">
      <c r="K103" s="67"/>
      <c r="L103" s="67"/>
      <c r="AF103" s="260"/>
      <c r="AV103" s="260"/>
      <c r="BL103" s="260"/>
    </row>
    <row r="104" spans="10:64" x14ac:dyDescent="0.4">
      <c r="AF104" s="260"/>
      <c r="AV104" s="260"/>
      <c r="BL104" s="260"/>
    </row>
    <row r="105" spans="10:64" x14ac:dyDescent="0.4">
      <c r="AF105" s="260"/>
      <c r="AV105" s="260"/>
      <c r="BL105" s="260"/>
    </row>
    <row r="106" spans="10:64" x14ac:dyDescent="0.4">
      <c r="AF106" s="260"/>
      <c r="AV106" s="260"/>
      <c r="BL106" s="260"/>
    </row>
    <row r="107" spans="10:64" x14ac:dyDescent="0.4">
      <c r="AF107" s="260"/>
      <c r="AV107" s="260"/>
      <c r="BL107" s="260"/>
    </row>
    <row r="108" spans="10:64" x14ac:dyDescent="0.4">
      <c r="AF108" s="260"/>
      <c r="AV108" s="260"/>
      <c r="BL108" s="260"/>
    </row>
    <row r="109" spans="10:64" x14ac:dyDescent="0.4">
      <c r="AF109" s="260"/>
      <c r="AV109" s="260"/>
      <c r="BL109" s="260"/>
    </row>
    <row r="110" spans="10:64" x14ac:dyDescent="0.4">
      <c r="AF110" s="260"/>
      <c r="AV110" s="260"/>
      <c r="BL110" s="260"/>
    </row>
    <row r="111" spans="10:64" x14ac:dyDescent="0.4">
      <c r="AF111" s="260"/>
      <c r="AV111" s="260"/>
      <c r="BL111" s="260"/>
    </row>
    <row r="112" spans="10:64" x14ac:dyDescent="0.4">
      <c r="AF112" s="260"/>
      <c r="AV112" s="260"/>
      <c r="BL112" s="260"/>
    </row>
  </sheetData>
  <sheetProtection selectLockedCells="1"/>
  <mergeCells count="45">
    <mergeCell ref="U3:V3"/>
    <mergeCell ref="C3:D3"/>
    <mergeCell ref="F3:H3"/>
    <mergeCell ref="I3:J3"/>
    <mergeCell ref="O3:P3"/>
    <mergeCell ref="R3:T3"/>
    <mergeCell ref="AB6:AC6"/>
    <mergeCell ref="AE6:AG6"/>
    <mergeCell ref="AB3:AC3"/>
    <mergeCell ref="AE3:AG3"/>
    <mergeCell ref="AH3:AI3"/>
    <mergeCell ref="AE4:AG4"/>
    <mergeCell ref="AH4:AI4"/>
    <mergeCell ref="AH6:AI6"/>
    <mergeCell ref="AB4:AC4"/>
    <mergeCell ref="U5:V5"/>
    <mergeCell ref="AB5:AC5"/>
    <mergeCell ref="AE5:AG5"/>
    <mergeCell ref="AH5:AI5"/>
    <mergeCell ref="C4:D4"/>
    <mergeCell ref="F4:H4"/>
    <mergeCell ref="I4:J4"/>
    <mergeCell ref="O4:P4"/>
    <mergeCell ref="R4:T4"/>
    <mergeCell ref="C5:D5"/>
    <mergeCell ref="F5:H5"/>
    <mergeCell ref="I5:J5"/>
    <mergeCell ref="O5:P5"/>
    <mergeCell ref="R5:T5"/>
    <mergeCell ref="U4:V4"/>
    <mergeCell ref="C9:D9"/>
    <mergeCell ref="O9:P9"/>
    <mergeCell ref="AB9:AC9"/>
    <mergeCell ref="C7:D7"/>
    <mergeCell ref="O7:P7"/>
    <mergeCell ref="AB7:AC7"/>
    <mergeCell ref="C8:D8"/>
    <mergeCell ref="O8:P8"/>
    <mergeCell ref="AB8:AC8"/>
    <mergeCell ref="U6:V6"/>
    <mergeCell ref="C6:D6"/>
    <mergeCell ref="F6:H6"/>
    <mergeCell ref="I6:J6"/>
    <mergeCell ref="O6:P6"/>
    <mergeCell ref="R6:T6"/>
  </mergeCells>
  <pageMargins left="0.7" right="0.7" top="0.75" bottom="0.75" header="0.3" footer="0.3"/>
  <pageSetup scale="63" orientation="landscape" r:id="rId1"/>
  <headerFooter>
    <oddHeader>&amp;C&amp;G</oddHeader>
    <oddFooter xml:space="preserve">&amp;RSunDx INTWKSHT20191021
</oddFooter>
  </headerFooter>
  <colBreaks count="1" manualBreakCount="1">
    <brk id="13" max="63" man="1"/>
  </colBreak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D743B-673D-409F-B8E5-CB3097B163D3}">
  <sheetPr codeName="Sheet11"/>
  <dimension ref="A1:FG112"/>
  <sheetViews>
    <sheetView topLeftCell="A3" zoomScale="80" zoomScaleNormal="80" workbookViewId="0">
      <selection activeCell="F9" sqref="F9"/>
    </sheetView>
  </sheetViews>
  <sheetFormatPr defaultColWidth="9.1171875" defaultRowHeight="12.7" x14ac:dyDescent="0.4"/>
  <cols>
    <col min="1" max="1" width="19.64453125" style="252" customWidth="1"/>
    <col min="2" max="2" width="19.234375" style="252" customWidth="1"/>
    <col min="3" max="3" width="14.52734375" style="252" customWidth="1"/>
    <col min="4" max="4" width="14.1171875" style="252" customWidth="1"/>
    <col min="5" max="5" width="17.87890625" style="252" customWidth="1"/>
    <col min="6" max="6" width="17.64453125" style="252" customWidth="1"/>
    <col min="7" max="7" width="13.41015625" style="252" customWidth="1"/>
    <col min="8" max="8" width="13.64453125" style="252" customWidth="1"/>
    <col min="9" max="9" width="9.87890625" style="252" customWidth="1"/>
    <col min="10" max="10" width="12.64453125" style="252" customWidth="1"/>
    <col min="11" max="11" width="11.41015625" style="252" customWidth="1"/>
    <col min="12" max="12" width="12.64453125" style="252" customWidth="1"/>
    <col min="13" max="13" width="3.234375" style="252" customWidth="1"/>
    <col min="14" max="14" width="14.87890625" style="67" customWidth="1"/>
    <col min="15" max="15" width="14.234375" style="67" customWidth="1"/>
    <col min="16" max="16" width="14.41015625" style="67" customWidth="1"/>
    <col min="17" max="17" width="14" style="67" customWidth="1"/>
    <col min="18" max="18" width="14.87890625" style="67" customWidth="1"/>
    <col min="19" max="19" width="13.87890625" style="67" customWidth="1"/>
    <col min="20" max="20" width="14.87890625" style="67" customWidth="1"/>
    <col min="21" max="21" width="9.1171875" style="67"/>
    <col min="22" max="24" width="12.52734375" style="67" customWidth="1"/>
    <col min="25" max="25" width="4.234375" style="67" customWidth="1"/>
    <col min="26" max="26" width="14.234375" style="67" customWidth="1"/>
    <col min="27" max="27" width="19.41015625" style="67" customWidth="1"/>
    <col min="28" max="28" width="14.64453125" style="67" customWidth="1"/>
    <col min="29" max="29" width="13.87890625" style="67" customWidth="1"/>
    <col min="30" max="31" width="14.41015625" style="67" customWidth="1"/>
    <col min="32" max="32" width="13.64453125" style="67" customWidth="1"/>
    <col min="33" max="33" width="14.234375" style="67" customWidth="1"/>
    <col min="34" max="34" width="9.234375" style="67" bestFit="1" customWidth="1"/>
    <col min="35" max="35" width="12.87890625" style="67" customWidth="1"/>
    <col min="36" max="38" width="9.234375" style="67" bestFit="1" customWidth="1"/>
    <col min="39" max="39" width="9.1171875" style="67"/>
    <col min="40" max="40" width="9.234375" style="67" bestFit="1" customWidth="1"/>
    <col min="41" max="41" width="9.1171875" style="67"/>
    <col min="42" max="42" width="9.234375" style="67" bestFit="1" customWidth="1"/>
    <col min="43" max="43" width="10.52734375" style="67" bestFit="1" customWidth="1"/>
    <col min="44" max="46" width="9.234375" style="67" bestFit="1" customWidth="1"/>
    <col min="47" max="89" width="9.1171875" style="67"/>
    <col min="90" max="16384" width="9.1171875" style="252"/>
  </cols>
  <sheetData>
    <row r="1" spans="1:91" x14ac:dyDescent="0.4">
      <c r="B1" s="64" t="s">
        <v>105</v>
      </c>
      <c r="F1" s="64" t="s">
        <v>160</v>
      </c>
      <c r="R1" s="109"/>
      <c r="AA1" s="109"/>
      <c r="AE1" s="109"/>
      <c r="CH1" s="74"/>
      <c r="CK1" s="252"/>
    </row>
    <row r="2" spans="1:91" x14ac:dyDescent="0.4">
      <c r="A2" s="64" t="s">
        <v>248</v>
      </c>
      <c r="N2" s="109"/>
      <c r="Z2" s="109"/>
      <c r="CK2" s="74"/>
      <c r="CL2" s="67"/>
      <c r="CM2" s="67"/>
    </row>
    <row r="3" spans="1:91" x14ac:dyDescent="0.4">
      <c r="B3" s="144" t="s">
        <v>5</v>
      </c>
      <c r="C3" s="341"/>
      <c r="D3" s="327"/>
      <c r="F3" s="342" t="s">
        <v>204</v>
      </c>
      <c r="G3" s="343"/>
      <c r="H3" s="344"/>
      <c r="I3" s="315"/>
      <c r="J3" s="316"/>
      <c r="K3" s="258"/>
      <c r="L3" s="258"/>
      <c r="O3" s="352"/>
      <c r="P3" s="347"/>
      <c r="R3" s="349"/>
      <c r="S3" s="350"/>
      <c r="T3" s="350"/>
      <c r="U3" s="346"/>
      <c r="V3" s="347"/>
      <c r="W3" s="258"/>
      <c r="X3" s="258"/>
      <c r="AA3" s="260"/>
      <c r="AB3" s="352"/>
      <c r="AC3" s="347"/>
      <c r="AE3" s="349"/>
      <c r="AF3" s="350"/>
      <c r="AG3" s="350"/>
      <c r="AH3" s="346"/>
      <c r="AI3" s="347"/>
      <c r="CH3" s="252"/>
      <c r="CI3" s="252"/>
      <c r="CJ3" s="252"/>
      <c r="CK3" s="252"/>
    </row>
    <row r="4" spans="1:91" x14ac:dyDescent="0.4">
      <c r="B4" s="134" t="s">
        <v>37</v>
      </c>
      <c r="C4" s="345"/>
      <c r="D4" s="327"/>
      <c r="F4" s="342" t="s">
        <v>68</v>
      </c>
      <c r="G4" s="343"/>
      <c r="H4" s="344"/>
      <c r="I4" s="348"/>
      <c r="J4" s="316"/>
      <c r="K4" s="258"/>
      <c r="L4" s="258"/>
      <c r="M4" s="62"/>
      <c r="O4" s="346"/>
      <c r="P4" s="347"/>
      <c r="R4" s="349"/>
      <c r="S4" s="350"/>
      <c r="T4" s="350"/>
      <c r="U4" s="351"/>
      <c r="V4" s="347"/>
      <c r="W4" s="258"/>
      <c r="X4" s="258"/>
      <c r="AA4" s="259"/>
      <c r="AB4" s="346"/>
      <c r="AC4" s="347"/>
      <c r="AE4" s="349"/>
      <c r="AF4" s="350"/>
      <c r="AG4" s="350"/>
      <c r="AH4" s="351"/>
      <c r="AI4" s="347"/>
      <c r="CE4" s="74"/>
      <c r="CH4" s="252"/>
      <c r="CI4" s="252"/>
      <c r="CJ4" s="252"/>
      <c r="CK4" s="252"/>
    </row>
    <row r="5" spans="1:91" x14ac:dyDescent="0.4">
      <c r="B5" s="134" t="s">
        <v>31</v>
      </c>
      <c r="C5" s="326"/>
      <c r="D5" s="327"/>
      <c r="F5" s="338" t="s">
        <v>235</v>
      </c>
      <c r="G5" s="339"/>
      <c r="H5" s="339"/>
      <c r="I5" s="358"/>
      <c r="J5" s="358"/>
      <c r="K5" s="261">
        <f>C5</f>
        <v>0</v>
      </c>
      <c r="L5" s="261"/>
      <c r="M5" s="62"/>
      <c r="O5" s="351"/>
      <c r="P5" s="347"/>
      <c r="R5" s="355"/>
      <c r="S5" s="356"/>
      <c r="T5" s="356"/>
      <c r="U5" s="353"/>
      <c r="V5" s="353"/>
      <c r="W5" s="261"/>
      <c r="X5" s="261"/>
      <c r="AA5" s="259"/>
      <c r="AB5" s="351"/>
      <c r="AC5" s="347"/>
      <c r="AE5" s="355"/>
      <c r="AF5" s="356"/>
      <c r="AG5" s="356"/>
      <c r="AH5" s="353"/>
      <c r="AI5" s="353"/>
      <c r="CE5" s="74"/>
      <c r="CH5" s="252"/>
      <c r="CI5" s="252"/>
      <c r="CJ5" s="252"/>
      <c r="CK5" s="252"/>
    </row>
    <row r="6" spans="1:91" x14ac:dyDescent="0.4">
      <c r="B6" s="134" t="s">
        <v>38</v>
      </c>
      <c r="C6" s="326"/>
      <c r="D6" s="327"/>
      <c r="F6" s="338" t="s">
        <v>161</v>
      </c>
      <c r="G6" s="339"/>
      <c r="H6" s="339"/>
      <c r="I6" s="354"/>
      <c r="J6" s="354"/>
      <c r="K6" s="204" t="s">
        <v>205</v>
      </c>
      <c r="L6" s="263"/>
      <c r="O6" s="351"/>
      <c r="P6" s="347"/>
      <c r="R6" s="355"/>
      <c r="S6" s="356"/>
      <c r="T6" s="356"/>
      <c r="U6" s="357"/>
      <c r="V6" s="357"/>
      <c r="W6" s="263"/>
      <c r="X6" s="263"/>
      <c r="AA6" s="259"/>
      <c r="AB6" s="351"/>
      <c r="AC6" s="347"/>
      <c r="AE6" s="355"/>
      <c r="AF6" s="356"/>
      <c r="AG6" s="356"/>
      <c r="AH6" s="357"/>
      <c r="AI6" s="357"/>
      <c r="CI6" s="252"/>
      <c r="CJ6" s="252"/>
      <c r="CK6" s="252"/>
    </row>
    <row r="7" spans="1:91" x14ac:dyDescent="0.4">
      <c r="B7" s="134" t="s">
        <v>39</v>
      </c>
      <c r="C7" s="340"/>
      <c r="D7" s="327"/>
      <c r="J7" s="70"/>
      <c r="K7" s="70"/>
      <c r="L7" s="70"/>
      <c r="O7" s="359"/>
      <c r="P7" s="347"/>
      <c r="V7" s="259"/>
      <c r="W7" s="259"/>
      <c r="X7" s="259"/>
      <c r="AA7" s="259"/>
      <c r="AB7" s="359"/>
      <c r="AC7" s="347"/>
      <c r="AI7" s="259"/>
      <c r="CG7" s="252"/>
      <c r="CH7" s="252"/>
      <c r="CI7" s="252"/>
      <c r="CJ7" s="252"/>
      <c r="CK7" s="252"/>
    </row>
    <row r="8" spans="1:91" x14ac:dyDescent="0.4">
      <c r="B8" s="134" t="s">
        <v>40</v>
      </c>
      <c r="C8" s="340"/>
      <c r="D8" s="327"/>
      <c r="J8" s="70"/>
      <c r="K8" s="70"/>
      <c r="L8" s="70"/>
      <c r="M8" s="64"/>
      <c r="O8" s="359"/>
      <c r="P8" s="347"/>
      <c r="V8" s="259"/>
      <c r="W8" s="259"/>
      <c r="X8" s="259"/>
      <c r="AA8" s="259"/>
      <c r="AB8" s="359"/>
      <c r="AC8" s="347"/>
      <c r="AI8" s="259"/>
      <c r="CG8" s="252"/>
      <c r="CH8" s="252"/>
      <c r="CI8" s="252"/>
      <c r="CJ8" s="252"/>
      <c r="CK8" s="252"/>
    </row>
    <row r="9" spans="1:91" x14ac:dyDescent="0.4">
      <c r="B9" s="134" t="s">
        <v>30</v>
      </c>
      <c r="C9" s="326"/>
      <c r="D9" s="327"/>
      <c r="J9" s="70"/>
      <c r="K9" s="70"/>
      <c r="L9" s="70"/>
      <c r="M9" s="64"/>
      <c r="O9" s="351"/>
      <c r="P9" s="347"/>
      <c r="V9" s="259"/>
      <c r="W9" s="259"/>
      <c r="X9" s="259"/>
      <c r="AA9" s="259"/>
      <c r="AB9" s="351"/>
      <c r="AC9" s="347"/>
      <c r="AI9" s="259"/>
      <c r="CG9" s="252"/>
      <c r="CH9" s="252"/>
      <c r="CI9" s="252"/>
      <c r="CJ9" s="252"/>
      <c r="CK9" s="252"/>
    </row>
    <row r="10" spans="1:91" x14ac:dyDescent="0.4">
      <c r="F10" s="70"/>
      <c r="G10" s="65"/>
      <c r="H10" s="259"/>
      <c r="I10" s="260"/>
      <c r="J10" s="62"/>
      <c r="K10" s="62"/>
      <c r="L10" s="62"/>
      <c r="R10" s="259"/>
      <c r="S10" s="260"/>
      <c r="T10" s="259"/>
      <c r="U10" s="260"/>
      <c r="V10" s="74"/>
      <c r="W10" s="74"/>
      <c r="X10" s="74"/>
      <c r="AE10" s="259"/>
      <c r="AF10" s="260"/>
      <c r="AG10" s="259"/>
      <c r="AH10" s="260"/>
      <c r="AI10" s="74"/>
      <c r="CH10" s="252"/>
      <c r="CI10" s="252"/>
      <c r="CJ10" s="252"/>
      <c r="CK10" s="252"/>
    </row>
    <row r="11" spans="1:91" x14ac:dyDescent="0.4">
      <c r="A11" s="251" t="s">
        <v>162</v>
      </c>
      <c r="F11" s="70"/>
      <c r="G11" s="65"/>
      <c r="H11" s="259"/>
      <c r="I11" s="260"/>
      <c r="J11" s="62"/>
      <c r="K11" s="62"/>
      <c r="L11" s="62"/>
      <c r="R11" s="259"/>
      <c r="S11" s="260"/>
      <c r="T11" s="259"/>
      <c r="U11" s="260"/>
      <c r="V11" s="74"/>
      <c r="W11" s="74"/>
      <c r="X11" s="74"/>
      <c r="AE11" s="259"/>
      <c r="AF11" s="260"/>
      <c r="AG11" s="259"/>
      <c r="AH11" s="260"/>
      <c r="AI11" s="74"/>
      <c r="CH11" s="252"/>
      <c r="CI11" s="252"/>
      <c r="CJ11" s="252"/>
      <c r="CK11" s="252"/>
    </row>
    <row r="12" spans="1:91" x14ac:dyDescent="0.4">
      <c r="A12" s="153" t="s">
        <v>80</v>
      </c>
      <c r="B12" s="76" t="s">
        <v>80</v>
      </c>
      <c r="C12" s="135" t="s">
        <v>85</v>
      </c>
      <c r="D12" s="135" t="s">
        <v>86</v>
      </c>
      <c r="E12" s="135" t="s">
        <v>87</v>
      </c>
      <c r="F12" s="135" t="s">
        <v>88</v>
      </c>
      <c r="G12" s="135" t="s">
        <v>89</v>
      </c>
      <c r="H12" s="135" t="s">
        <v>1</v>
      </c>
      <c r="I12" s="153" t="s">
        <v>122</v>
      </c>
      <c r="J12" s="135" t="s">
        <v>122</v>
      </c>
      <c r="K12" s="153" t="s">
        <v>123</v>
      </c>
      <c r="L12" s="135" t="s">
        <v>123</v>
      </c>
      <c r="N12" s="109"/>
      <c r="P12" s="82"/>
      <c r="Q12" s="82"/>
      <c r="R12" s="82"/>
      <c r="S12" s="82"/>
      <c r="T12" s="82"/>
      <c r="U12" s="82"/>
      <c r="V12" s="82"/>
      <c r="W12" s="82"/>
      <c r="X12" s="82"/>
      <c r="Z12" s="109"/>
      <c r="AA12" s="82"/>
      <c r="AB12" s="82"/>
      <c r="AC12" s="82"/>
      <c r="AD12" s="82"/>
      <c r="AE12" s="82"/>
      <c r="AF12" s="82"/>
      <c r="AG12" s="82"/>
      <c r="AH12" s="82"/>
      <c r="AI12" s="82"/>
      <c r="AJ12" s="82"/>
      <c r="AK12" s="82"/>
      <c r="CH12" s="252"/>
      <c r="CI12" s="252"/>
      <c r="CJ12" s="252"/>
      <c r="CK12" s="252"/>
    </row>
    <row r="13" spans="1:91" x14ac:dyDescent="0.4">
      <c r="A13" s="153" t="s">
        <v>82</v>
      </c>
      <c r="B13" s="77" t="s">
        <v>81</v>
      </c>
      <c r="C13" s="135" t="s">
        <v>81</v>
      </c>
      <c r="D13" s="135" t="s">
        <v>81</v>
      </c>
      <c r="E13" s="135" t="s">
        <v>81</v>
      </c>
      <c r="F13" s="135" t="s">
        <v>81</v>
      </c>
      <c r="G13" s="135" t="s">
        <v>81</v>
      </c>
      <c r="H13" s="135" t="s">
        <v>81</v>
      </c>
      <c r="I13" s="153" t="s">
        <v>152</v>
      </c>
      <c r="J13" s="135" t="s">
        <v>206</v>
      </c>
      <c r="K13" s="153" t="s">
        <v>152</v>
      </c>
      <c r="L13" s="135" t="s">
        <v>206</v>
      </c>
      <c r="N13" s="109"/>
      <c r="P13" s="82"/>
      <c r="Q13" s="82"/>
      <c r="R13" s="82"/>
      <c r="S13" s="82"/>
      <c r="T13" s="82"/>
      <c r="U13" s="82"/>
      <c r="V13" s="82"/>
      <c r="W13" s="82"/>
      <c r="X13" s="82"/>
      <c r="Z13" s="109"/>
      <c r="AA13" s="82"/>
      <c r="AB13" s="82"/>
      <c r="AC13" s="82"/>
      <c r="AD13" s="82"/>
      <c r="AE13" s="82"/>
      <c r="AF13" s="82"/>
      <c r="AG13" s="82"/>
      <c r="AH13" s="82"/>
      <c r="AI13" s="82"/>
      <c r="AJ13" s="82"/>
      <c r="AK13" s="82"/>
      <c r="CH13" s="252"/>
      <c r="CI13" s="252"/>
      <c r="CJ13" s="252"/>
      <c r="CK13" s="252"/>
    </row>
    <row r="14" spans="1:91" x14ac:dyDescent="0.4">
      <c r="A14" s="145">
        <v>1</v>
      </c>
      <c r="B14" s="257"/>
      <c r="C14" s="104"/>
      <c r="D14" s="104"/>
      <c r="E14" s="104"/>
      <c r="F14" s="104"/>
      <c r="G14" s="104"/>
      <c r="H14" s="78" t="str">
        <f>IF($C$14="","",AVERAGE($C$14:$G$14))</f>
        <v/>
      </c>
      <c r="I14" s="152" t="e">
        <f>$H$14-$H$14</f>
        <v>#VALUE!</v>
      </c>
      <c r="J14" s="135" t="s">
        <v>207</v>
      </c>
      <c r="K14" s="79" t="e">
        <f>($H$14-$H$14)/$H$14</f>
        <v>#VALUE!</v>
      </c>
      <c r="L14" s="135" t="s">
        <v>207</v>
      </c>
      <c r="N14" s="124"/>
      <c r="P14" s="125"/>
      <c r="Q14" s="125"/>
      <c r="R14" s="125"/>
      <c r="S14" s="125"/>
      <c r="T14" s="81"/>
      <c r="U14" s="86"/>
      <c r="V14" s="82"/>
      <c r="W14" s="85"/>
      <c r="X14" s="82"/>
      <c r="Z14" s="124"/>
      <c r="AA14" s="82"/>
      <c r="AB14" s="125"/>
      <c r="AC14" s="125"/>
      <c r="AD14" s="125"/>
      <c r="AE14" s="125"/>
      <c r="AF14" s="125"/>
      <c r="AG14" s="81"/>
      <c r="AH14" s="86"/>
      <c r="AI14" s="82"/>
      <c r="AJ14" s="85"/>
      <c r="AK14" s="82"/>
      <c r="CH14" s="252"/>
      <c r="CI14" s="252"/>
      <c r="CJ14" s="252"/>
      <c r="CK14" s="252"/>
    </row>
    <row r="15" spans="1:91" x14ac:dyDescent="0.4">
      <c r="A15" s="144">
        <v>2</v>
      </c>
      <c r="B15" s="153">
        <f>($B$16+$B$14)/2</f>
        <v>0</v>
      </c>
      <c r="C15" s="104"/>
      <c r="D15" s="104"/>
      <c r="E15" s="104"/>
      <c r="F15" s="104"/>
      <c r="G15" s="104"/>
      <c r="H15" s="78" t="str">
        <f>IF($C$15="","",AVERAGE($C$15:$G$15))</f>
        <v/>
      </c>
      <c r="I15" s="152" t="e">
        <f>$H$15-$H$14</f>
        <v>#VALUE!</v>
      </c>
      <c r="J15" s="153" t="str">
        <f>IF($I$5="","",IF(ABS($I$15)&lt;$I$5,"NO","YES"))</f>
        <v/>
      </c>
      <c r="K15" s="79" t="e">
        <f>($H$15-$H$14)/$H$14</f>
        <v>#VALUE!</v>
      </c>
      <c r="L15" s="153" t="str">
        <f>IF($I$6="","",IF(ABS($K$15)&lt;$I$6,"NO","YES"))</f>
        <v/>
      </c>
      <c r="P15" s="125"/>
      <c r="Q15" s="125"/>
      <c r="R15" s="125"/>
      <c r="S15" s="125"/>
      <c r="T15" s="81"/>
      <c r="U15" s="86"/>
      <c r="V15" s="82"/>
      <c r="W15" s="85"/>
      <c r="X15" s="82"/>
      <c r="AA15" s="82"/>
      <c r="AB15" s="125"/>
      <c r="AC15" s="125"/>
      <c r="AD15" s="125"/>
      <c r="AE15" s="125"/>
      <c r="AF15" s="125"/>
      <c r="AG15" s="81"/>
      <c r="AH15" s="86"/>
      <c r="AI15" s="82"/>
      <c r="AJ15" s="85"/>
      <c r="AK15" s="82"/>
      <c r="CH15" s="252"/>
      <c r="CI15" s="252"/>
      <c r="CJ15" s="252"/>
      <c r="CK15" s="252"/>
    </row>
    <row r="16" spans="1:91" x14ac:dyDescent="0.4">
      <c r="A16" s="144">
        <v>3</v>
      </c>
      <c r="B16" s="153">
        <f>($B$18+$B$14)/2</f>
        <v>0</v>
      </c>
      <c r="C16" s="104"/>
      <c r="D16" s="104"/>
      <c r="E16" s="104"/>
      <c r="F16" s="104"/>
      <c r="G16" s="104"/>
      <c r="H16" s="78" t="str">
        <f>IF($C$16="","",AVERAGE($C$16:$G$16))</f>
        <v/>
      </c>
      <c r="I16" s="152" t="e">
        <f>$H$16-$H$14</f>
        <v>#VALUE!</v>
      </c>
      <c r="J16" s="153" t="str">
        <f>IF($I$5="","",IF(ABS($I$16)&lt;$I$5,"NO","YES"))</f>
        <v/>
      </c>
      <c r="K16" s="79" t="e">
        <f>($H$16-$H$14)/$H$14</f>
        <v>#VALUE!</v>
      </c>
      <c r="L16" s="153" t="str">
        <f>IF($I$6="","",IF(ABS($K$16)&lt;$I$6,"NO","YES"))</f>
        <v/>
      </c>
      <c r="P16" s="125"/>
      <c r="Q16" s="125"/>
      <c r="R16" s="125"/>
      <c r="S16" s="125"/>
      <c r="T16" s="81"/>
      <c r="U16" s="86"/>
      <c r="V16" s="82"/>
      <c r="W16" s="85"/>
      <c r="X16" s="82"/>
      <c r="AA16" s="82"/>
      <c r="AB16" s="125"/>
      <c r="AC16" s="125"/>
      <c r="AD16" s="125"/>
      <c r="AE16" s="125"/>
      <c r="AF16" s="125"/>
      <c r="AG16" s="81"/>
      <c r="AH16" s="86"/>
      <c r="AI16" s="82"/>
      <c r="AJ16" s="85"/>
      <c r="AK16" s="82"/>
      <c r="CH16" s="252"/>
      <c r="CI16" s="252"/>
      <c r="CJ16" s="252"/>
      <c r="CK16" s="252"/>
    </row>
    <row r="17" spans="1:101" x14ac:dyDescent="0.4">
      <c r="A17" s="144">
        <v>4</v>
      </c>
      <c r="B17" s="153">
        <f>($B$18+$B$16)/2</f>
        <v>0</v>
      </c>
      <c r="C17" s="104"/>
      <c r="D17" s="104"/>
      <c r="E17" s="104"/>
      <c r="F17" s="104"/>
      <c r="G17" s="104"/>
      <c r="H17" s="78" t="str">
        <f>IF($C$17="","",AVERAGE($C$17:$G$17))</f>
        <v/>
      </c>
      <c r="I17" s="152" t="e">
        <f>$H$17-$H$14</f>
        <v>#VALUE!</v>
      </c>
      <c r="J17" s="153" t="str">
        <f>IF($I$5="","",IF(ABS($I$17)&lt;$I$5,"NO","YES"))</f>
        <v/>
      </c>
      <c r="K17" s="79" t="e">
        <f>($H$17-$H$14)/$H$14</f>
        <v>#VALUE!</v>
      </c>
      <c r="L17" s="153" t="str">
        <f>IF($I$6="","",IF(ABS($K$17)&lt;$I$6,"NO","YES"))</f>
        <v/>
      </c>
      <c r="O17" s="127"/>
      <c r="P17" s="125"/>
      <c r="Q17" s="125"/>
      <c r="R17" s="125"/>
      <c r="S17" s="125"/>
      <c r="T17" s="81"/>
      <c r="U17" s="86"/>
      <c r="V17" s="82"/>
      <c r="W17" s="85"/>
      <c r="X17" s="82"/>
      <c r="AA17" s="82"/>
      <c r="AB17" s="125"/>
      <c r="AC17" s="125"/>
      <c r="AD17" s="125"/>
      <c r="AE17" s="125"/>
      <c r="AF17" s="125"/>
      <c r="AG17" s="81"/>
      <c r="AH17" s="86"/>
      <c r="AI17" s="82"/>
      <c r="AJ17" s="85"/>
      <c r="AK17" s="82"/>
      <c r="CH17" s="252"/>
      <c r="CI17" s="252"/>
      <c r="CJ17" s="252"/>
      <c r="CK17" s="252"/>
    </row>
    <row r="18" spans="1:101" x14ac:dyDescent="0.4">
      <c r="A18" s="145">
        <v>5</v>
      </c>
      <c r="B18" s="123"/>
      <c r="C18" s="104"/>
      <c r="D18" s="104"/>
      <c r="E18" s="104"/>
      <c r="F18" s="104"/>
      <c r="G18" s="104"/>
      <c r="H18" s="78" t="str">
        <f>IF($C$18="","",AVERAGE($C$18:$G$18))</f>
        <v/>
      </c>
      <c r="I18" s="152" t="e">
        <f>$H$18-$H$14</f>
        <v>#VALUE!</v>
      </c>
      <c r="J18" s="153" t="str">
        <f>IF($I$5="","",IF(ABS($I$18)&lt;$I$5,"NO","YES"))</f>
        <v/>
      </c>
      <c r="K18" s="79" t="e">
        <f>($H$18-$H$14)/$H$14</f>
        <v>#VALUE!</v>
      </c>
      <c r="L18" s="153" t="str">
        <f>IF($I$6="","",IF(ABS($K$18)&lt;$I$6,"NO","YES"))</f>
        <v/>
      </c>
      <c r="N18" s="124"/>
      <c r="O18" s="127"/>
      <c r="P18" s="125"/>
      <c r="Q18" s="125"/>
      <c r="R18" s="125"/>
      <c r="S18" s="125"/>
      <c r="T18" s="81"/>
      <c r="U18" s="86"/>
      <c r="V18" s="82"/>
      <c r="W18" s="85"/>
      <c r="X18" s="82"/>
      <c r="Z18" s="124"/>
      <c r="AA18" s="82"/>
      <c r="AB18" s="125"/>
      <c r="AC18" s="125"/>
      <c r="AD18" s="125"/>
      <c r="AE18" s="125"/>
      <c r="AF18" s="125"/>
      <c r="AG18" s="81"/>
      <c r="AH18" s="86"/>
      <c r="AI18" s="82"/>
      <c r="AJ18" s="85"/>
      <c r="AK18" s="82"/>
      <c r="CH18" s="252"/>
      <c r="CI18" s="252"/>
      <c r="CJ18" s="252"/>
      <c r="CK18" s="252"/>
    </row>
    <row r="19" spans="1:101" x14ac:dyDescent="0.4">
      <c r="B19" s="80"/>
      <c r="C19" s="81"/>
      <c r="D19" s="81"/>
      <c r="E19" s="81"/>
      <c r="F19" s="81"/>
      <c r="G19" s="81"/>
      <c r="H19" s="68"/>
      <c r="I19" s="69"/>
      <c r="J19" s="67"/>
      <c r="K19" s="67"/>
      <c r="L19" s="67"/>
      <c r="M19" s="260"/>
      <c r="P19" s="81"/>
      <c r="Q19" s="81"/>
      <c r="R19" s="81"/>
      <c r="S19" s="81"/>
      <c r="U19" s="260"/>
      <c r="Y19" s="260"/>
      <c r="AA19" s="82"/>
      <c r="AB19" s="81"/>
      <c r="AC19" s="81"/>
      <c r="AD19" s="81"/>
      <c r="AE19" s="81"/>
      <c r="AF19" s="81"/>
      <c r="AH19" s="260"/>
      <c r="AL19" s="82"/>
      <c r="AO19" s="260"/>
      <c r="BB19" s="82"/>
      <c r="BE19" s="260"/>
      <c r="CE19" s="252"/>
      <c r="CF19" s="252"/>
      <c r="CG19" s="252"/>
      <c r="CH19" s="252"/>
      <c r="CI19" s="252"/>
      <c r="CJ19" s="252"/>
      <c r="CK19" s="252"/>
    </row>
    <row r="20" spans="1:101" x14ac:dyDescent="0.4">
      <c r="A20" s="75" t="s">
        <v>93</v>
      </c>
      <c r="B20" s="152">
        <f>AVERAGE($B$14:$B$18)</f>
        <v>0</v>
      </c>
      <c r="C20" s="84"/>
      <c r="D20" s="84"/>
      <c r="E20" s="84"/>
      <c r="F20" s="84"/>
      <c r="G20" s="84"/>
      <c r="H20" s="81"/>
      <c r="I20" s="84"/>
      <c r="J20" s="85"/>
      <c r="K20" s="85"/>
      <c r="L20" s="85"/>
      <c r="M20" s="86"/>
      <c r="N20" s="109"/>
      <c r="P20" s="86"/>
      <c r="Q20" s="86"/>
      <c r="R20" s="86"/>
      <c r="S20" s="86"/>
      <c r="T20" s="81"/>
      <c r="U20" s="86"/>
      <c r="V20" s="85"/>
      <c r="W20" s="85"/>
      <c r="X20" s="85"/>
      <c r="Y20" s="260"/>
      <c r="Z20" s="109"/>
      <c r="AA20" s="86"/>
      <c r="AB20" s="86"/>
      <c r="AC20" s="86"/>
      <c r="AD20" s="86"/>
      <c r="AE20" s="86"/>
      <c r="AF20" s="86"/>
      <c r="AG20" s="81"/>
      <c r="AH20" s="86"/>
      <c r="AI20" s="85"/>
      <c r="AJ20" s="82"/>
      <c r="AL20" s="82"/>
      <c r="AO20" s="260"/>
      <c r="AZ20" s="82"/>
      <c r="BB20" s="82"/>
      <c r="BE20" s="260"/>
      <c r="BP20" s="87"/>
      <c r="CA20" s="87"/>
      <c r="CE20" s="252"/>
      <c r="CF20" s="252"/>
      <c r="CG20" s="252"/>
      <c r="CH20" s="252"/>
      <c r="CI20" s="252"/>
      <c r="CJ20" s="252"/>
      <c r="CK20" s="252"/>
      <c r="CL20" s="88"/>
      <c r="CW20" s="88"/>
    </row>
    <row r="21" spans="1:101" x14ac:dyDescent="0.4">
      <c r="A21" s="75" t="s">
        <v>242</v>
      </c>
      <c r="B21" s="81" t="e">
        <f>AVERAGE($H$14:$H$18)</f>
        <v>#DIV/0!</v>
      </c>
      <c r="C21" s="90"/>
      <c r="D21" s="90"/>
      <c r="E21" s="90"/>
      <c r="F21" s="90"/>
      <c r="G21" s="90"/>
      <c r="H21" s="90"/>
      <c r="I21" s="90"/>
      <c r="J21" s="102" t="s">
        <v>208</v>
      </c>
      <c r="K21" s="102"/>
      <c r="L21" s="102" t="s">
        <v>209</v>
      </c>
      <c r="M21" s="102"/>
      <c r="N21" s="260"/>
      <c r="O21" s="109"/>
      <c r="Q21" s="91"/>
      <c r="R21" s="91"/>
      <c r="S21" s="91"/>
      <c r="T21" s="91"/>
      <c r="U21" s="91"/>
      <c r="V21" s="91"/>
      <c r="W21" s="91"/>
      <c r="X21" s="91"/>
      <c r="Y21" s="91"/>
      <c r="AA21" s="109"/>
      <c r="AB21" s="91"/>
      <c r="AC21" s="91"/>
      <c r="AD21" s="91"/>
      <c r="AE21" s="91"/>
      <c r="AF21" s="91"/>
      <c r="AG21" s="91"/>
      <c r="AH21" s="91"/>
      <c r="AI21" s="91"/>
      <c r="AJ21" s="91"/>
      <c r="CI21" s="252"/>
      <c r="CJ21" s="252"/>
      <c r="CK21" s="252"/>
    </row>
    <row r="22" spans="1:101" x14ac:dyDescent="0.4">
      <c r="A22" s="75" t="s">
        <v>75</v>
      </c>
      <c r="B22" s="89" t="e">
        <f>INTERCEPT($H$14:$H$18,$B$14:$B$18)</f>
        <v>#DIV/0!</v>
      </c>
      <c r="C22" s="90"/>
      <c r="D22" s="90"/>
      <c r="E22" s="90"/>
      <c r="F22" s="90"/>
      <c r="G22" s="90"/>
      <c r="H22" s="90"/>
      <c r="I22" s="266" t="s">
        <v>210</v>
      </c>
      <c r="J22" s="206">
        <f>($B$14-$B$20)^2</f>
        <v>0</v>
      </c>
      <c r="K22" s="206" t="s">
        <v>212</v>
      </c>
      <c r="L22" s="86" t="e">
        <f>($H$14-$B$21)^2</f>
        <v>#VALUE!</v>
      </c>
      <c r="N22" s="260"/>
      <c r="O22" s="109"/>
      <c r="Q22" s="91"/>
      <c r="R22" s="91"/>
      <c r="S22" s="91"/>
      <c r="T22" s="91"/>
      <c r="U22" s="91"/>
      <c r="V22" s="91"/>
      <c r="W22" s="91"/>
      <c r="X22" s="91"/>
      <c r="Y22" s="91"/>
      <c r="AA22" s="109"/>
      <c r="AB22" s="91"/>
      <c r="AC22" s="91"/>
      <c r="AD22" s="91"/>
      <c r="AE22" s="91"/>
      <c r="AF22" s="91"/>
      <c r="AG22" s="91"/>
      <c r="AH22" s="91"/>
      <c r="AI22" s="91"/>
      <c r="AJ22" s="91"/>
      <c r="CI22" s="252"/>
      <c r="CJ22" s="252"/>
      <c r="CK22" s="252"/>
    </row>
    <row r="23" spans="1:101" x14ac:dyDescent="0.4">
      <c r="A23" s="75" t="s">
        <v>236</v>
      </c>
      <c r="B23" s="89" t="e">
        <f>SLOPE($H$14:$H$18,$B$14:$B$18)</f>
        <v>#DIV/0!</v>
      </c>
      <c r="C23" s="90"/>
      <c r="D23" s="90"/>
      <c r="E23" s="90"/>
      <c r="F23" s="90"/>
      <c r="G23" s="90"/>
      <c r="H23" s="90"/>
      <c r="I23" s="266" t="s">
        <v>238</v>
      </c>
      <c r="J23" s="206">
        <f>($B$15-$B$20)^2</f>
        <v>0</v>
      </c>
      <c r="K23" s="206" t="s">
        <v>243</v>
      </c>
      <c r="L23" s="86" t="e">
        <f>($H$15-$B$21)^2</f>
        <v>#VALUE!</v>
      </c>
      <c r="M23" s="91"/>
      <c r="O23" s="109"/>
      <c r="Q23" s="91"/>
      <c r="R23" s="91"/>
      <c r="S23" s="91"/>
      <c r="T23" s="91"/>
      <c r="U23" s="91"/>
      <c r="V23" s="91"/>
      <c r="W23" s="91"/>
      <c r="X23" s="91"/>
      <c r="Y23" s="91"/>
      <c r="AA23" s="109"/>
      <c r="AB23" s="91"/>
      <c r="AC23" s="91"/>
      <c r="AD23" s="91"/>
      <c r="AE23" s="91"/>
      <c r="AF23" s="91"/>
      <c r="AG23" s="91"/>
      <c r="AH23" s="91"/>
      <c r="AI23" s="91"/>
      <c r="AJ23" s="91"/>
      <c r="CI23" s="252"/>
      <c r="CJ23" s="252"/>
      <c r="CK23" s="252"/>
    </row>
    <row r="24" spans="1:101" x14ac:dyDescent="0.4">
      <c r="A24" s="75" t="s">
        <v>76</v>
      </c>
      <c r="B24" s="89" t="e">
        <f>CORREL($H$14:$H$18,$B$14:$B$18)</f>
        <v>#DIV/0!</v>
      </c>
      <c r="C24" s="90"/>
      <c r="D24" s="90"/>
      <c r="E24" s="90"/>
      <c r="F24" s="90"/>
      <c r="G24" s="90"/>
      <c r="H24" s="90"/>
      <c r="I24" s="266" t="s">
        <v>239</v>
      </c>
      <c r="J24" s="206">
        <f>($B$16-$B$20)^2</f>
        <v>0</v>
      </c>
      <c r="K24" s="206" t="s">
        <v>244</v>
      </c>
      <c r="L24" s="86" t="e">
        <f>($H$16-$B$21)^2</f>
        <v>#VALUE!</v>
      </c>
      <c r="M24" s="91"/>
      <c r="O24" s="109"/>
      <c r="Q24" s="91"/>
      <c r="R24" s="91"/>
      <c r="S24" s="91"/>
      <c r="T24" s="91"/>
      <c r="U24" s="91"/>
      <c r="V24" s="91"/>
      <c r="W24" s="91"/>
      <c r="X24" s="91"/>
      <c r="Y24" s="91"/>
      <c r="AA24" s="109"/>
      <c r="AB24" s="91"/>
      <c r="AC24" s="91"/>
      <c r="AD24" s="91"/>
      <c r="AE24" s="91"/>
      <c r="AF24" s="91"/>
      <c r="AG24" s="91"/>
      <c r="AH24" s="91"/>
      <c r="AI24" s="91"/>
      <c r="AJ24" s="91"/>
      <c r="CI24" s="252"/>
      <c r="CJ24" s="252"/>
      <c r="CK24" s="252"/>
    </row>
    <row r="25" spans="1:101" x14ac:dyDescent="0.4">
      <c r="A25" s="75" t="s">
        <v>84</v>
      </c>
      <c r="B25" s="89" t="e">
        <f>RSQ($H$14:$H$18,$B$14:$B$18)</f>
        <v>#DIV/0!</v>
      </c>
      <c r="C25" s="90"/>
      <c r="D25" s="90"/>
      <c r="E25" s="90"/>
      <c r="F25" s="90"/>
      <c r="G25" s="90"/>
      <c r="H25" s="90"/>
      <c r="I25" s="266" t="s">
        <v>240</v>
      </c>
      <c r="J25" s="206">
        <f>($B$17-$B$20)^2</f>
        <v>0</v>
      </c>
      <c r="K25" s="206" t="s">
        <v>245</v>
      </c>
      <c r="L25" s="86" t="e">
        <f>($H$17-$B$21)^2</f>
        <v>#VALUE!</v>
      </c>
      <c r="M25" s="91"/>
      <c r="N25" s="92"/>
      <c r="O25" s="109"/>
      <c r="P25" s="86"/>
      <c r="Q25" s="91"/>
      <c r="R25" s="91"/>
      <c r="S25" s="91"/>
      <c r="T25" s="91"/>
      <c r="U25" s="91"/>
      <c r="V25" s="91"/>
      <c r="W25" s="91"/>
      <c r="X25" s="91"/>
      <c r="Y25" s="91"/>
      <c r="AA25" s="109"/>
      <c r="AB25" s="91"/>
      <c r="AC25" s="91"/>
      <c r="AD25" s="91"/>
      <c r="AE25" s="91"/>
      <c r="AF25" s="91"/>
      <c r="AG25" s="91"/>
      <c r="AH25" s="91"/>
      <c r="AI25" s="91"/>
      <c r="AJ25" s="91"/>
      <c r="CI25" s="252"/>
      <c r="CJ25" s="252"/>
      <c r="CK25" s="252"/>
    </row>
    <row r="26" spans="1:101" ht="15.35" x14ac:dyDescent="0.6">
      <c r="A26" s="75" t="s">
        <v>90</v>
      </c>
      <c r="B26" s="89" t="e">
        <f>STEYX($H$14:$H$18,$B$14:$B$18)</f>
        <v>#DIV/0!</v>
      </c>
      <c r="C26" s="90"/>
      <c r="D26" s="90"/>
      <c r="E26" s="90"/>
      <c r="F26" s="90"/>
      <c r="G26" s="90"/>
      <c r="H26" s="90"/>
      <c r="I26" s="266" t="s">
        <v>241</v>
      </c>
      <c r="J26" s="206">
        <f>($B$18-$B$20)^2</f>
        <v>0</v>
      </c>
      <c r="K26" s="206" t="s">
        <v>213</v>
      </c>
      <c r="L26" s="86" t="e">
        <f>($H$18-$B$21)^2</f>
        <v>#VALUE!</v>
      </c>
      <c r="M26" s="91"/>
      <c r="N26" s="92"/>
      <c r="O26" s="109"/>
      <c r="P26" s="91"/>
      <c r="Q26" s="91"/>
      <c r="R26" s="91"/>
      <c r="S26" s="91"/>
      <c r="T26" s="91"/>
      <c r="U26" s="91"/>
      <c r="V26" s="91"/>
      <c r="W26" s="91"/>
      <c r="X26" s="91"/>
      <c r="Y26" s="91"/>
      <c r="AA26" s="109"/>
      <c r="AB26" s="101"/>
      <c r="AC26" s="91"/>
      <c r="AD26" s="91"/>
      <c r="AE26" s="91"/>
      <c r="AF26" s="91"/>
      <c r="AG26" s="91"/>
      <c r="AH26" s="91"/>
      <c r="AI26" s="91"/>
      <c r="AJ26" s="91"/>
      <c r="CI26" s="252"/>
      <c r="CJ26" s="252"/>
      <c r="CK26" s="252"/>
    </row>
    <row r="27" spans="1:101" x14ac:dyDescent="0.4">
      <c r="A27" s="75" t="s">
        <v>92</v>
      </c>
      <c r="B27" s="89">
        <f>SUM($J$22:$J$26)</f>
        <v>0</v>
      </c>
      <c r="C27" s="90"/>
      <c r="D27" s="90"/>
      <c r="E27" s="90"/>
      <c r="F27" s="90"/>
      <c r="G27" s="90"/>
      <c r="H27" s="90"/>
      <c r="I27" s="266"/>
      <c r="J27" s="206"/>
      <c r="K27" s="86"/>
      <c r="L27" s="91"/>
      <c r="M27" s="92"/>
      <c r="N27" s="109"/>
      <c r="O27" s="91"/>
      <c r="P27" s="91"/>
      <c r="Q27" s="91"/>
      <c r="R27" s="91"/>
      <c r="S27" s="91"/>
      <c r="T27" s="91"/>
      <c r="U27" s="91"/>
      <c r="V27" s="91"/>
      <c r="W27" s="91"/>
      <c r="X27" s="91"/>
      <c r="Z27" s="109"/>
      <c r="AA27" s="91"/>
      <c r="AB27" s="91"/>
      <c r="AC27" s="91"/>
      <c r="AD27" s="91"/>
      <c r="AE27" s="91"/>
      <c r="AF27" s="91"/>
      <c r="AG27" s="91"/>
      <c r="AH27" s="91"/>
      <c r="AI27" s="91"/>
      <c r="CH27" s="252"/>
      <c r="CI27" s="252"/>
      <c r="CJ27" s="252"/>
      <c r="CK27" s="252"/>
    </row>
    <row r="28" spans="1:101" x14ac:dyDescent="0.4">
      <c r="A28" s="75" t="s">
        <v>237</v>
      </c>
      <c r="B28" s="89" t="e">
        <f>SUM($L$22:$L$26)</f>
        <v>#VALUE!</v>
      </c>
      <c r="C28" s="90"/>
      <c r="D28" s="90"/>
      <c r="E28" s="90"/>
      <c r="F28" s="90"/>
      <c r="G28" s="90"/>
      <c r="H28" s="90"/>
      <c r="I28" s="90"/>
      <c r="J28" s="205" t="s">
        <v>218</v>
      </c>
      <c r="K28" s="205" t="s">
        <v>219</v>
      </c>
      <c r="L28" s="205" t="s">
        <v>220</v>
      </c>
      <c r="M28" s="109"/>
      <c r="N28" s="91"/>
      <c r="O28" s="91"/>
      <c r="P28" s="91"/>
      <c r="Q28" s="91"/>
      <c r="R28" s="91"/>
      <c r="S28" s="91"/>
      <c r="T28" s="91"/>
      <c r="U28" s="91"/>
      <c r="V28" s="91"/>
      <c r="W28" s="91"/>
      <c r="Y28" s="109"/>
      <c r="Z28" s="91"/>
      <c r="AA28" s="91"/>
      <c r="AB28" s="91"/>
      <c r="AC28" s="91"/>
      <c r="AD28" s="91"/>
      <c r="AE28" s="91"/>
      <c r="AF28" s="91"/>
      <c r="AG28" s="91"/>
      <c r="AH28" s="91"/>
      <c r="CG28" s="252"/>
      <c r="CH28" s="252"/>
      <c r="CI28" s="252"/>
      <c r="CJ28" s="252"/>
      <c r="CK28" s="252"/>
    </row>
    <row r="29" spans="1:101" x14ac:dyDescent="0.4">
      <c r="A29" s="75" t="s">
        <v>77</v>
      </c>
      <c r="B29" s="89" t="e">
        <f>(SQRT($B$28/$B$32))/(SQRT($B$27))</f>
        <v>#VALUE!</v>
      </c>
      <c r="C29" s="90"/>
      <c r="D29" s="90"/>
      <c r="E29" s="90"/>
      <c r="F29" s="90"/>
      <c r="G29" s="90"/>
      <c r="H29" s="90"/>
      <c r="I29" s="205" t="s">
        <v>210</v>
      </c>
      <c r="J29" s="91">
        <f>B14</f>
        <v>0</v>
      </c>
      <c r="K29" s="248">
        <f>B14</f>
        <v>0</v>
      </c>
      <c r="L29" s="247">
        <f>B14</f>
        <v>0</v>
      </c>
      <c r="M29" s="109"/>
      <c r="N29" s="91"/>
      <c r="O29" s="91"/>
      <c r="P29" s="91"/>
      <c r="Q29" s="91"/>
      <c r="R29" s="91"/>
      <c r="S29" s="91"/>
      <c r="T29" s="91"/>
      <c r="U29" s="91"/>
      <c r="V29" s="91"/>
      <c r="W29" s="91"/>
      <c r="Y29" s="109"/>
      <c r="Z29" s="91"/>
      <c r="AA29" s="91"/>
      <c r="AB29" s="91"/>
      <c r="AC29" s="91"/>
      <c r="AD29" s="91"/>
      <c r="AE29" s="91"/>
      <c r="AF29" s="91"/>
      <c r="AG29" s="91"/>
      <c r="AH29" s="91"/>
      <c r="CG29" s="252"/>
      <c r="CH29" s="252"/>
      <c r="CI29" s="252"/>
      <c r="CJ29" s="252"/>
      <c r="CK29" s="252"/>
    </row>
    <row r="30" spans="1:101" x14ac:dyDescent="0.4">
      <c r="A30" s="94" t="s">
        <v>78</v>
      </c>
      <c r="B30" s="95">
        <f>COUNT($C$14:$G$18)</f>
        <v>0</v>
      </c>
      <c r="C30" s="90"/>
      <c r="D30" s="90"/>
      <c r="E30" s="90"/>
      <c r="F30" s="90"/>
      <c r="G30" s="90"/>
      <c r="H30" s="90"/>
      <c r="I30" s="205" t="s">
        <v>211</v>
      </c>
      <c r="J30" s="91">
        <f>B18</f>
        <v>0</v>
      </c>
      <c r="K30" s="247">
        <f>B18</f>
        <v>0</v>
      </c>
      <c r="L30" s="247">
        <f>B18</f>
        <v>0</v>
      </c>
      <c r="M30" s="109"/>
      <c r="N30" s="91"/>
      <c r="O30" s="91"/>
      <c r="P30" s="91"/>
      <c r="Q30" s="91"/>
      <c r="R30" s="91"/>
      <c r="S30" s="91"/>
      <c r="T30" s="91"/>
      <c r="U30" s="91"/>
      <c r="V30" s="91"/>
      <c r="W30" s="91"/>
      <c r="Y30" s="109"/>
      <c r="Z30" s="100"/>
      <c r="AA30" s="91"/>
      <c r="AB30" s="91"/>
      <c r="AC30" s="91"/>
      <c r="AD30" s="91"/>
      <c r="AE30" s="91"/>
      <c r="AF30" s="91"/>
      <c r="AG30" s="91"/>
      <c r="AH30" s="91"/>
      <c r="CG30" s="252"/>
      <c r="CH30" s="252"/>
      <c r="CI30" s="252"/>
      <c r="CJ30" s="252"/>
      <c r="CK30" s="252"/>
    </row>
    <row r="31" spans="1:101" x14ac:dyDescent="0.4">
      <c r="A31" s="75" t="s">
        <v>99</v>
      </c>
      <c r="B31" s="93" t="e">
        <f>$B$23/$B$29</f>
        <v>#DIV/0!</v>
      </c>
      <c r="C31" s="90"/>
      <c r="D31" s="90"/>
      <c r="E31" s="90"/>
      <c r="F31" s="90"/>
      <c r="G31" s="90"/>
      <c r="H31" s="90"/>
      <c r="I31" s="205" t="s">
        <v>212</v>
      </c>
      <c r="J31" s="91" t="str">
        <f>H14</f>
        <v/>
      </c>
      <c r="K31" s="247" t="e">
        <f>$H$14+(1*$I$5)</f>
        <v>#VALUE!</v>
      </c>
      <c r="L31" s="247" t="e">
        <f>$H$14-(1*$I$5)</f>
        <v>#VALUE!</v>
      </c>
      <c r="M31" s="109"/>
      <c r="N31" s="91"/>
      <c r="O31" s="91"/>
      <c r="P31" s="91"/>
      <c r="Q31" s="91"/>
      <c r="R31" s="91"/>
      <c r="S31" s="91"/>
      <c r="T31" s="91"/>
      <c r="U31" s="91"/>
      <c r="V31" s="91"/>
      <c r="W31" s="91"/>
      <c r="Y31" s="109"/>
      <c r="Z31" s="100"/>
      <c r="AA31" s="91"/>
      <c r="AB31" s="91"/>
      <c r="AC31" s="91"/>
      <c r="AD31" s="91"/>
      <c r="AE31" s="91"/>
      <c r="AF31" s="91"/>
      <c r="AG31" s="91"/>
      <c r="AH31" s="91"/>
      <c r="CG31" s="252"/>
      <c r="CH31" s="252"/>
      <c r="CI31" s="252"/>
      <c r="CJ31" s="252"/>
      <c r="CK31" s="252"/>
    </row>
    <row r="32" spans="1:101" x14ac:dyDescent="0.4">
      <c r="A32" s="94" t="s">
        <v>79</v>
      </c>
      <c r="B32" s="95">
        <f>$B$30-2</f>
        <v>-2</v>
      </c>
      <c r="C32" s="90"/>
      <c r="D32" s="90"/>
      <c r="E32" s="90"/>
      <c r="F32" s="90"/>
      <c r="G32" s="90"/>
      <c r="H32" s="90"/>
      <c r="I32" s="205" t="s">
        <v>213</v>
      </c>
      <c r="J32" s="91" t="str">
        <f>H14</f>
        <v/>
      </c>
      <c r="K32" s="247" t="e">
        <f>$H$14+(1*$I$5)</f>
        <v>#VALUE!</v>
      </c>
      <c r="L32" s="247" t="e">
        <f>$H$14-(1*$I$5)</f>
        <v>#VALUE!</v>
      </c>
      <c r="M32" s="67"/>
      <c r="N32" s="109"/>
      <c r="O32" s="91"/>
      <c r="P32" s="91"/>
      <c r="Q32" s="91"/>
      <c r="R32" s="91"/>
      <c r="S32" s="91"/>
      <c r="T32" s="91"/>
      <c r="U32" s="91"/>
      <c r="V32" s="91"/>
      <c r="W32" s="91"/>
      <c r="X32" s="91"/>
      <c r="Z32" s="109"/>
      <c r="AA32" s="102"/>
      <c r="AB32" s="91"/>
      <c r="AC32" s="91"/>
      <c r="AD32" s="91"/>
      <c r="AE32" s="91"/>
      <c r="AF32" s="91"/>
      <c r="AG32" s="91"/>
      <c r="AH32" s="91"/>
      <c r="AI32" s="91"/>
      <c r="CH32" s="252"/>
      <c r="CI32" s="252"/>
      <c r="CJ32" s="252"/>
      <c r="CK32" s="252"/>
    </row>
    <row r="33" spans="1:89" x14ac:dyDescent="0.4">
      <c r="A33" s="94" t="s">
        <v>95</v>
      </c>
      <c r="B33" s="89" t="e">
        <f>TINV(0.05,$B$32)</f>
        <v>#NUM!</v>
      </c>
      <c r="C33" s="90"/>
      <c r="D33" s="90"/>
      <c r="E33" s="90"/>
      <c r="F33" s="90"/>
      <c r="G33" s="90"/>
      <c r="H33" s="90"/>
      <c r="I33" s="90"/>
      <c r="J33" s="91"/>
      <c r="K33" s="247"/>
      <c r="L33" s="247"/>
      <c r="M33" s="67"/>
      <c r="N33" s="109"/>
      <c r="O33" s="91"/>
      <c r="P33" s="91"/>
      <c r="Q33" s="91"/>
      <c r="R33" s="91"/>
      <c r="S33" s="91"/>
      <c r="T33" s="91"/>
      <c r="U33" s="91"/>
      <c r="V33" s="91"/>
      <c r="W33" s="91"/>
      <c r="X33" s="91"/>
      <c r="Z33" s="109"/>
      <c r="AA33" s="91"/>
      <c r="AB33" s="91"/>
      <c r="AC33" s="91"/>
      <c r="AD33" s="91"/>
      <c r="AE33" s="91"/>
      <c r="AF33" s="91"/>
      <c r="AG33" s="91"/>
      <c r="AH33" s="91"/>
      <c r="AI33" s="91"/>
      <c r="CH33" s="252"/>
      <c r="CI33" s="252"/>
      <c r="CJ33" s="252"/>
      <c r="CK33" s="252"/>
    </row>
    <row r="34" spans="1:89" ht="13" x14ac:dyDescent="0.45">
      <c r="A34" s="75" t="s">
        <v>156</v>
      </c>
      <c r="B34" s="96" t="e">
        <f>IF(ABS($B$31)&gt;$B$33,"YES","NO")</f>
        <v>#DIV/0!</v>
      </c>
      <c r="C34" s="66"/>
      <c r="D34" s="66"/>
      <c r="E34" s="66"/>
      <c r="F34" s="66"/>
      <c r="G34" s="66"/>
      <c r="H34" s="66"/>
      <c r="I34" s="90"/>
      <c r="J34" s="205" t="s">
        <v>218</v>
      </c>
      <c r="K34" s="205" t="s">
        <v>222</v>
      </c>
      <c r="L34" s="205" t="s">
        <v>221</v>
      </c>
      <c r="M34" s="67"/>
      <c r="N34" s="109"/>
      <c r="Z34" s="109"/>
      <c r="CH34" s="252"/>
      <c r="CI34" s="252"/>
      <c r="CJ34" s="252"/>
      <c r="CK34" s="252"/>
    </row>
    <row r="35" spans="1:89" x14ac:dyDescent="0.4">
      <c r="A35" s="66"/>
      <c r="B35" s="66"/>
      <c r="C35" s="66"/>
      <c r="D35" s="66"/>
      <c r="E35" s="66"/>
      <c r="F35" s="66"/>
      <c r="G35" s="66"/>
      <c r="H35" s="66"/>
      <c r="I35" s="249" t="s">
        <v>210</v>
      </c>
      <c r="J35" s="205">
        <f>B14</f>
        <v>0</v>
      </c>
      <c r="K35" s="91">
        <f>B14</f>
        <v>0</v>
      </c>
      <c r="L35" s="91">
        <f>B14</f>
        <v>0</v>
      </c>
      <c r="M35" s="67"/>
      <c r="CH35" s="252"/>
      <c r="CI35" s="252"/>
      <c r="CJ35" s="252"/>
      <c r="CK35" s="252"/>
    </row>
    <row r="36" spans="1:89" x14ac:dyDescent="0.4">
      <c r="A36" s="72" t="s">
        <v>97</v>
      </c>
      <c r="B36" s="64"/>
      <c r="C36" s="64"/>
      <c r="D36" s="73"/>
      <c r="E36" s="73"/>
      <c r="F36" s="64"/>
      <c r="G36" s="64"/>
      <c r="H36" s="64"/>
      <c r="I36" s="249" t="s">
        <v>211</v>
      </c>
      <c r="J36" s="249">
        <f>B18</f>
        <v>0</v>
      </c>
      <c r="K36" s="247">
        <f>B18</f>
        <v>0</v>
      </c>
      <c r="L36" s="247">
        <f>B18</f>
        <v>0</v>
      </c>
      <c r="M36" s="67"/>
      <c r="N36" s="126"/>
      <c r="O36" s="109"/>
      <c r="P36" s="127"/>
      <c r="Q36" s="127"/>
      <c r="R36" s="109"/>
      <c r="S36" s="109"/>
      <c r="T36" s="109"/>
      <c r="U36" s="109"/>
      <c r="V36" s="109"/>
      <c r="W36" s="109"/>
      <c r="X36" s="109"/>
      <c r="Z36" s="126"/>
      <c r="AA36" s="109"/>
      <c r="AB36" s="109"/>
      <c r="AC36" s="127"/>
      <c r="AD36" s="127"/>
      <c r="AE36" s="109"/>
      <c r="AF36" s="109"/>
      <c r="AG36" s="109"/>
      <c r="AH36" s="109"/>
      <c r="AI36" s="109"/>
      <c r="CH36" s="252"/>
      <c r="CI36" s="252"/>
      <c r="CJ36" s="252"/>
      <c r="CK36" s="252"/>
    </row>
    <row r="37" spans="1:89" x14ac:dyDescent="0.4">
      <c r="A37" s="62" t="e">
        <f>IF($B$34="YES", "The slope is NOT statistically significantly different from zero.", "The slope IS statistically significantly different from zero, indicating that interference is statistically significant.")</f>
        <v>#DIV/0!</v>
      </c>
      <c r="B37" s="64"/>
      <c r="C37" s="64"/>
      <c r="D37" s="73"/>
      <c r="E37" s="73"/>
      <c r="F37" s="64"/>
      <c r="G37" s="64"/>
      <c r="H37" s="64"/>
      <c r="I37" s="250" t="s">
        <v>212</v>
      </c>
      <c r="J37" s="249" t="str">
        <f>H14</f>
        <v/>
      </c>
      <c r="K37" s="247" t="e">
        <f>$H$14+($H$14*$I$6)</f>
        <v>#VALUE!</v>
      </c>
      <c r="L37" s="247" t="e">
        <f>$H$14-($H$14*$I$6)</f>
        <v>#VALUE!</v>
      </c>
      <c r="M37" s="67"/>
      <c r="N37" s="74"/>
      <c r="O37" s="109"/>
      <c r="P37" s="127"/>
      <c r="Q37" s="127"/>
      <c r="R37" s="109"/>
      <c r="S37" s="109"/>
      <c r="T37" s="109"/>
      <c r="U37" s="109"/>
      <c r="V37" s="109"/>
      <c r="W37" s="109"/>
      <c r="X37" s="109"/>
      <c r="Z37" s="74"/>
      <c r="AA37" s="109"/>
      <c r="AB37" s="109"/>
      <c r="AC37" s="127"/>
      <c r="AD37" s="127"/>
      <c r="AE37" s="109"/>
      <c r="AF37" s="109"/>
      <c r="AG37" s="109"/>
      <c r="AH37" s="109"/>
      <c r="AI37" s="109"/>
      <c r="CH37" s="252"/>
      <c r="CI37" s="252"/>
      <c r="CJ37" s="252"/>
      <c r="CK37" s="252"/>
    </row>
    <row r="38" spans="1:89" ht="13.95" customHeight="1" x14ac:dyDescent="0.4">
      <c r="I38" s="250" t="s">
        <v>213</v>
      </c>
      <c r="J38" s="268" t="str">
        <f>H14</f>
        <v/>
      </c>
      <c r="K38" s="247" t="e">
        <f>$H$14+($H$14*$I$6)</f>
        <v>#VALUE!</v>
      </c>
      <c r="L38" s="247" t="e">
        <f>$H$14-($H$14*$I$6)</f>
        <v>#VALUE!</v>
      </c>
    </row>
    <row r="39" spans="1:89" x14ac:dyDescent="0.4">
      <c r="A39" s="251" t="str">
        <f>IF(AND($J$15="YES",$L$16="YES"),"Bias with Interferent Level 2 &gt; the acceptable limit (Dmax), indicating that Interference is Clinically Significant. ", "Bias with Interferent Level 2 &lt; the acceptable limit (Dmax), indicating that Interference is NOT Clinically Significant.")</f>
        <v>Bias with Interferent Level 2 &lt; the acceptable limit (Dmax), indicating that Interference is NOT Clinically Significant.</v>
      </c>
      <c r="J39" s="207"/>
      <c r="K39" s="207"/>
      <c r="L39" s="207"/>
      <c r="M39" s="67"/>
      <c r="N39" s="74"/>
      <c r="Z39" s="74"/>
      <c r="CH39" s="252"/>
      <c r="CI39" s="252"/>
      <c r="CJ39" s="252"/>
      <c r="CK39" s="252"/>
    </row>
    <row r="40" spans="1:89" x14ac:dyDescent="0.4">
      <c r="A40" s="62" t="str">
        <f>IF(AND($J$16 ="YES",$L$16="YES"), "Bias with Interferent Level 3 &gt; the acceptable limit (Dmax), indicating that Interference is Clinically Significant. ", "Bias with Interferent Level 3 &lt; the acceptable limit (Dmax), indicating that Interference is NOT Clinically Significant.")</f>
        <v>Bias with Interferent Level 3 &lt; the acceptable limit (Dmax), indicating that Interference is NOT Clinically Significant.</v>
      </c>
      <c r="M40" s="67"/>
      <c r="N40" s="74"/>
      <c r="Z40" s="74"/>
      <c r="CH40" s="252"/>
      <c r="CI40" s="252"/>
      <c r="CJ40" s="252"/>
      <c r="CK40" s="252"/>
    </row>
    <row r="41" spans="1:89" x14ac:dyDescent="0.4">
      <c r="A41" s="62" t="str">
        <f>IF(AND($J$17 ="YES",$L$17="YES"), "Bias with Interferent Level 4 &gt; the acceptable limit (Dmax), indicating that Interference is Clinically Significant. ", "Bias with Interferent Level 4 &lt; the acceptable limit (Dmax), indicating that Interference is NOT Clinically Significant.")</f>
        <v>Bias with Interferent Level 4 &lt; the acceptable limit (Dmax), indicating that Interference is NOT Clinically Significant.</v>
      </c>
      <c r="J41" s="67"/>
      <c r="K41" s="67"/>
      <c r="L41" s="67"/>
      <c r="M41" s="67"/>
      <c r="N41" s="74"/>
      <c r="Z41" s="74"/>
      <c r="CH41" s="252"/>
      <c r="CI41" s="252"/>
      <c r="CJ41" s="252"/>
      <c r="CK41" s="252"/>
    </row>
    <row r="42" spans="1:89" s="64" customFormat="1" x14ac:dyDescent="0.4">
      <c r="A42" s="251" t="str">
        <f>IF(AND($J$18 ="NO",$L$18="NO"), "Bias with Interferent Level 5 &lt; the acceptable limit (Dmax), indicating that Interference is NOT Clinically Significant. ", "Bias with Interferent Level 5 &gt; the acceptable limit (Dmax), indicating that Interference IS Clinically Significant.")</f>
        <v>Bias with Interferent Level 5 &gt; the acceptable limit (Dmax), indicating that Interference IS Clinically Significant.</v>
      </c>
      <c r="D42" s="73"/>
      <c r="E42" s="73"/>
      <c r="J42" s="109"/>
      <c r="K42" s="109"/>
      <c r="L42" s="109"/>
      <c r="M42" s="109"/>
      <c r="N42" s="109"/>
      <c r="O42" s="109"/>
      <c r="P42" s="127"/>
      <c r="Q42" s="127"/>
      <c r="R42" s="109"/>
      <c r="S42" s="109"/>
      <c r="T42" s="109"/>
      <c r="U42" s="109"/>
      <c r="V42" s="109"/>
      <c r="W42" s="109"/>
      <c r="X42" s="109"/>
      <c r="Y42" s="109"/>
      <c r="Z42" s="109"/>
      <c r="AA42" s="109"/>
      <c r="AB42" s="109"/>
      <c r="AC42" s="127"/>
      <c r="AD42" s="127"/>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row>
    <row r="43" spans="1:89" ht="12.75" customHeight="1" x14ac:dyDescent="0.4">
      <c r="I43" s="64"/>
      <c r="J43" s="67"/>
      <c r="K43" s="67"/>
      <c r="L43" s="67"/>
      <c r="M43" s="67"/>
      <c r="CH43" s="252"/>
      <c r="CI43" s="252"/>
      <c r="CJ43" s="252"/>
      <c r="CK43" s="252"/>
    </row>
    <row r="44" spans="1:89" s="64" customFormat="1" x14ac:dyDescent="0.4">
      <c r="A44" s="64" t="s">
        <v>124</v>
      </c>
      <c r="F44" s="207"/>
      <c r="G44" s="207"/>
      <c r="H44" s="207"/>
      <c r="I44" s="207"/>
      <c r="J44" s="208" t="s">
        <v>216</v>
      </c>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row>
    <row r="45" spans="1:89" s="64" customFormat="1" x14ac:dyDescent="0.4">
      <c r="A45" s="64" t="s">
        <v>128</v>
      </c>
      <c r="B45" s="71" t="s">
        <v>94</v>
      </c>
      <c r="C45" s="71" t="s">
        <v>75</v>
      </c>
      <c r="D45" s="64" t="s">
        <v>98</v>
      </c>
      <c r="F45" s="207" t="s">
        <v>129</v>
      </c>
      <c r="G45" s="207" t="s">
        <v>94</v>
      </c>
      <c r="H45" s="207" t="s">
        <v>75</v>
      </c>
      <c r="I45" s="207" t="s">
        <v>98</v>
      </c>
      <c r="J45" s="207" t="s">
        <v>217</v>
      </c>
      <c r="K45" s="67"/>
      <c r="L45" s="67"/>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row>
    <row r="46" spans="1:89" s="64" customFormat="1" x14ac:dyDescent="0.4">
      <c r="A46" s="251" t="s">
        <v>154</v>
      </c>
      <c r="B46" s="244" t="str">
        <f>IF($I$5="","",SLOPE($I$14:$I$15,$B$14:$B$15))</f>
        <v/>
      </c>
      <c r="C46" s="244" t="str">
        <f>IF($I$5="","",INTERCEPT($I$14:$I$15,$B$14:$B$15))</f>
        <v/>
      </c>
      <c r="D46" s="110" t="str">
        <f>IF($I$5="","",ABS(($I$5-$C$46)/$B$46))</f>
        <v/>
      </c>
      <c r="E46" s="110"/>
      <c r="F46" s="251" t="s">
        <v>154</v>
      </c>
      <c r="G46" s="244" t="str">
        <f>IF($I$6="","",SLOPE($K$14:$K$15,$B$14:$B$15))</f>
        <v/>
      </c>
      <c r="H46" s="244" t="str">
        <f>IF($I$6="","",INTERCEPT($K$14:$K$15,$B$14:$B$15))</f>
        <v/>
      </c>
      <c r="I46" s="110" t="str">
        <f>IF($I$6="","",ABS(($I$6-$H$46)/$G$46))</f>
        <v/>
      </c>
      <c r="J46" s="128">
        <f>MAX($D$46,$I$46)</f>
        <v>0</v>
      </c>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row>
    <row r="47" spans="1:89" x14ac:dyDescent="0.4">
      <c r="A47" s="251" t="s">
        <v>125</v>
      </c>
      <c r="B47" s="244" t="str">
        <f>IF($I$5="","",SLOPE($I$15:$I$16,$B$15:$B$16))</f>
        <v/>
      </c>
      <c r="C47" s="244" t="str">
        <f>IF($I$5="","",INTERCEPT($I$15:$I$16,$B$15:$B$16))</f>
        <v/>
      </c>
      <c r="D47" s="110" t="str">
        <f>IF($I$5="","",ABS(($I$5-$C$47)/$B$47))</f>
        <v/>
      </c>
      <c r="E47" s="110"/>
      <c r="F47" s="251" t="s">
        <v>125</v>
      </c>
      <c r="G47" s="244" t="str">
        <f>IF($I$6="","",SLOPE($K$15:$K$16,$B$15:$B$16))</f>
        <v/>
      </c>
      <c r="H47" s="244" t="str">
        <f>IF($I$6="","",INTERCEPT($K$15:$K$16,$B$15:$B$16))</f>
        <v/>
      </c>
      <c r="I47" s="110" t="str">
        <f>IF($I$6="","",ABS(($I$6-$H$47)/$G$47))</f>
        <v/>
      </c>
      <c r="J47" s="128">
        <f>MAX($D$47,$I$47)</f>
        <v>0</v>
      </c>
      <c r="K47" s="109"/>
      <c r="L47" s="109"/>
      <c r="M47" s="67"/>
      <c r="CH47" s="252"/>
      <c r="CI47" s="252"/>
      <c r="CJ47" s="252"/>
      <c r="CK47" s="252"/>
    </row>
    <row r="48" spans="1:89" x14ac:dyDescent="0.4">
      <c r="A48" s="251" t="s">
        <v>126</v>
      </c>
      <c r="B48" s="244" t="str">
        <f>IF($I$5="","",SLOPE($I$16:$I$17,$B$16:$B$17))</f>
        <v/>
      </c>
      <c r="C48" s="244" t="str">
        <f>IF($I$5="","",INTERCEPT($I$16:$I$17,$B$16:$B$17))</f>
        <v/>
      </c>
      <c r="D48" s="110" t="str">
        <f>IF($I$5="","",ABS(($I$5-$C$48)/$B$48))</f>
        <v/>
      </c>
      <c r="E48" s="110"/>
      <c r="F48" s="251" t="s">
        <v>126</v>
      </c>
      <c r="G48" s="244" t="str">
        <f>IF($I$6="","",SLOPE($K$16:$K$17,$B$16:$B$17))</f>
        <v/>
      </c>
      <c r="H48" s="244" t="str">
        <f>IF($I$6="","",INTERCEPT($K$16:$K$17,$B$16:$B$17))</f>
        <v/>
      </c>
      <c r="I48" s="110" t="str">
        <f>IF($I$6="","",ABS(($I$6-$H$48)/$G$48))</f>
        <v/>
      </c>
      <c r="J48" s="128">
        <f>MAX($D$48,$I$48)</f>
        <v>0</v>
      </c>
      <c r="K48" s="109"/>
      <c r="L48" s="109"/>
      <c r="M48" s="67"/>
      <c r="CH48" s="252"/>
      <c r="CI48" s="252"/>
      <c r="CJ48" s="252"/>
      <c r="CK48" s="252"/>
    </row>
    <row r="49" spans="1:89" x14ac:dyDescent="0.4">
      <c r="A49" s="251" t="s">
        <v>127</v>
      </c>
      <c r="B49" s="244" t="str">
        <f>IF($I$5="","",SLOPE($I$17:$I$18,$B$17:$B$18))</f>
        <v/>
      </c>
      <c r="C49" s="244" t="str">
        <f>IF($I$5="","",INTERCEPT($I$17:$I$18,$B$17:$B$18))</f>
        <v/>
      </c>
      <c r="D49" s="110" t="str">
        <f>IF($I$5="","",ABS(($I$5-$C$49)/$B$49))</f>
        <v/>
      </c>
      <c r="E49" s="110"/>
      <c r="F49" s="251" t="s">
        <v>127</v>
      </c>
      <c r="G49" s="244" t="str">
        <f>IF($I$6="","",SLOPE($K$17:$K$18,$B$17:$B$18))</f>
        <v/>
      </c>
      <c r="H49" s="244" t="str">
        <f>IF($I$6="","",INTERCEPT($K$17:$K$18,$B$17:$B$18))</f>
        <v/>
      </c>
      <c r="I49" s="110" t="str">
        <f>IF($I$6="","",ABS(($I$6-$H$49)/$G$49))</f>
        <v/>
      </c>
      <c r="J49" s="128">
        <f>MAX($D$49,$I$49)</f>
        <v>0</v>
      </c>
      <c r="K49" s="67"/>
      <c r="L49" s="67"/>
      <c r="M49" s="67"/>
      <c r="CH49" s="252"/>
      <c r="CI49" s="252"/>
      <c r="CJ49" s="252"/>
      <c r="CK49" s="252"/>
    </row>
    <row r="50" spans="1:89" x14ac:dyDescent="0.4">
      <c r="J50" s="67"/>
      <c r="K50" s="67"/>
      <c r="L50" s="67"/>
      <c r="M50" s="67"/>
      <c r="CG50" s="252"/>
      <c r="CH50" s="252"/>
      <c r="CI50" s="252"/>
      <c r="CJ50" s="252"/>
      <c r="CK50" s="252"/>
    </row>
    <row r="51" spans="1:89" ht="13" thickBot="1" x14ac:dyDescent="0.45">
      <c r="A51" s="267" t="s">
        <v>246</v>
      </c>
      <c r="C51" s="271" t="s">
        <v>249</v>
      </c>
      <c r="D51" s="271" t="s">
        <v>250</v>
      </c>
      <c r="E51" s="271" t="s">
        <v>251</v>
      </c>
      <c r="F51" s="271" t="s">
        <v>252</v>
      </c>
      <c r="J51" s="67"/>
      <c r="K51" s="67"/>
      <c r="L51" s="67"/>
      <c r="M51" s="67"/>
      <c r="CG51" s="252"/>
      <c r="CH51" s="252"/>
      <c r="CI51" s="252"/>
      <c r="CJ51" s="252"/>
      <c r="CK51" s="252"/>
    </row>
    <row r="52" spans="1:89" s="64" customFormat="1" ht="13" thickBot="1" x14ac:dyDescent="0.45">
      <c r="A52" s="269" t="s">
        <v>155</v>
      </c>
      <c r="B52" s="270"/>
      <c r="C52" s="272">
        <f>IF(OR($J$15="NO",$L$15="NO"),"",$J$46)</f>
        <v>0</v>
      </c>
      <c r="D52" s="272">
        <f>IF(OR($J$16="NO",$L$16="NO"),"",$J$47)</f>
        <v>0</v>
      </c>
      <c r="E52" s="272">
        <f>IF(OR($J$16="NO",$L$16="NO"),"",$J$48)</f>
        <v>0</v>
      </c>
      <c r="F52" s="272">
        <f>IF(OR($J$18="NO",$L$18="NO"),"",$J$49)</f>
        <v>0</v>
      </c>
      <c r="J52" s="109"/>
      <c r="K52" s="67"/>
      <c r="L52" s="67"/>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row>
    <row r="53" spans="1:89" x14ac:dyDescent="0.4">
      <c r="J53" s="67"/>
      <c r="K53" s="67"/>
      <c r="L53" s="67"/>
      <c r="M53" s="67"/>
      <c r="CG53" s="252"/>
      <c r="CH53" s="252"/>
      <c r="CI53" s="252"/>
      <c r="CJ53" s="252"/>
      <c r="CK53" s="252"/>
    </row>
    <row r="54" spans="1:89" x14ac:dyDescent="0.4">
      <c r="J54" s="67"/>
      <c r="K54" s="109"/>
      <c r="L54" s="109"/>
      <c r="M54" s="67"/>
      <c r="CG54" s="252"/>
      <c r="CH54" s="252"/>
      <c r="CI54" s="252"/>
      <c r="CJ54" s="252"/>
      <c r="CK54" s="252"/>
    </row>
    <row r="55" spans="1:89" x14ac:dyDescent="0.4">
      <c r="A55" s="64" t="s">
        <v>66</v>
      </c>
      <c r="B55" s="64"/>
      <c r="C55" s="64"/>
      <c r="D55" s="64"/>
      <c r="E55" s="64"/>
      <c r="F55" s="64"/>
      <c r="G55" s="64"/>
      <c r="H55" s="64"/>
      <c r="I55" s="64"/>
      <c r="J55" s="64"/>
      <c r="K55" s="67"/>
      <c r="L55" s="67"/>
      <c r="M55" s="109"/>
      <c r="N55" s="109"/>
      <c r="O55" s="109"/>
      <c r="P55" s="109"/>
      <c r="Q55" s="109"/>
      <c r="R55" s="109"/>
      <c r="S55" s="109"/>
      <c r="T55" s="109"/>
      <c r="U55" s="109"/>
      <c r="V55" s="109"/>
      <c r="W55" s="109"/>
      <c r="Y55" s="109"/>
      <c r="Z55" s="109"/>
      <c r="AA55" s="109"/>
      <c r="AB55" s="109"/>
      <c r="AC55" s="109"/>
      <c r="AD55" s="109"/>
      <c r="AE55" s="109"/>
      <c r="AF55" s="109"/>
      <c r="AG55" s="109"/>
      <c r="AH55" s="109"/>
      <c r="CG55" s="252"/>
      <c r="CH55" s="252"/>
      <c r="CI55" s="252"/>
      <c r="CJ55" s="252"/>
      <c r="CK55" s="252"/>
    </row>
    <row r="56" spans="1:89" x14ac:dyDescent="0.4">
      <c r="K56" s="67"/>
      <c r="L56" s="67"/>
      <c r="M56" s="67"/>
      <c r="CG56" s="252"/>
      <c r="CH56" s="252"/>
      <c r="CI56" s="252"/>
      <c r="CJ56" s="252"/>
      <c r="CK56" s="252"/>
    </row>
    <row r="57" spans="1:89" x14ac:dyDescent="0.4">
      <c r="B57" s="106"/>
      <c r="C57" s="106"/>
      <c r="D57" s="106"/>
      <c r="E57" s="106"/>
      <c r="G57" s="106"/>
      <c r="H57" s="106"/>
      <c r="I57" s="106"/>
      <c r="J57" s="106"/>
      <c r="K57" s="64"/>
      <c r="L57" s="67"/>
      <c r="M57" s="67"/>
      <c r="O57" s="262"/>
      <c r="P57" s="262"/>
      <c r="Q57" s="262"/>
      <c r="S57" s="262"/>
      <c r="T57" s="262"/>
      <c r="U57" s="262"/>
      <c r="V57" s="262"/>
      <c r="W57" s="262"/>
      <c r="X57" s="262"/>
      <c r="AA57" s="262"/>
      <c r="AB57" s="262"/>
      <c r="AC57" s="262"/>
      <c r="AD57" s="262"/>
      <c r="AF57" s="262"/>
      <c r="AG57" s="262"/>
      <c r="AH57" s="262"/>
      <c r="AI57" s="262"/>
      <c r="CH57" s="252"/>
      <c r="CI57" s="252"/>
      <c r="CJ57" s="252"/>
      <c r="CK57" s="252"/>
    </row>
    <row r="58" spans="1:89" x14ac:dyDescent="0.4">
      <c r="A58" s="64" t="s">
        <v>67</v>
      </c>
      <c r="B58" s="107"/>
      <c r="C58" s="107"/>
      <c r="D58" s="107"/>
      <c r="E58" s="107"/>
      <c r="F58" s="64" t="s">
        <v>5</v>
      </c>
      <c r="G58" s="107"/>
      <c r="H58" s="107"/>
      <c r="I58" s="107"/>
      <c r="J58" s="107"/>
      <c r="L58" s="67"/>
      <c r="M58" s="67"/>
      <c r="N58" s="109"/>
      <c r="O58" s="262"/>
      <c r="P58" s="262"/>
      <c r="Q58" s="262"/>
      <c r="R58" s="109"/>
      <c r="S58" s="262"/>
      <c r="T58" s="262"/>
      <c r="U58" s="262"/>
      <c r="V58" s="262"/>
      <c r="W58" s="262"/>
      <c r="X58" s="262"/>
      <c r="Z58" s="109"/>
      <c r="AA58" s="262"/>
      <c r="AB58" s="262"/>
      <c r="AC58" s="262"/>
      <c r="AD58" s="262"/>
      <c r="AE58" s="109"/>
      <c r="AF58" s="262"/>
      <c r="AG58" s="262"/>
      <c r="AH58" s="262"/>
      <c r="AI58" s="262"/>
      <c r="CH58" s="252"/>
      <c r="CI58" s="252"/>
      <c r="CJ58" s="252"/>
      <c r="CK58" s="252"/>
    </row>
    <row r="59" spans="1:89" x14ac:dyDescent="0.4">
      <c r="B59" s="67"/>
      <c r="C59" s="67"/>
      <c r="D59" s="67"/>
      <c r="E59" s="67"/>
      <c r="F59" s="67"/>
      <c r="G59" s="67"/>
      <c r="H59" s="67"/>
      <c r="I59" s="67"/>
      <c r="J59" s="67"/>
      <c r="K59" s="106"/>
      <c r="L59" s="106"/>
      <c r="M59" s="67"/>
      <c r="CH59" s="252"/>
      <c r="CI59" s="252"/>
      <c r="CJ59" s="252"/>
      <c r="CK59" s="252"/>
    </row>
    <row r="60" spans="1:89" x14ac:dyDescent="0.4">
      <c r="B60" s="49" t="s">
        <v>131</v>
      </c>
      <c r="C60"/>
      <c r="D60"/>
      <c r="E60"/>
      <c r="F60"/>
      <c r="G60"/>
      <c r="H60"/>
      <c r="I60"/>
      <c r="J60"/>
      <c r="K60" s="108"/>
      <c r="L60" s="108"/>
      <c r="M60"/>
      <c r="CH60" s="252"/>
      <c r="CI60" s="252"/>
      <c r="CJ60" s="252"/>
      <c r="CK60" s="252"/>
    </row>
    <row r="61" spans="1:89" x14ac:dyDescent="0.4">
      <c r="A61">
        <v>1</v>
      </c>
      <c r="B61" s="49" t="s">
        <v>132</v>
      </c>
      <c r="C61"/>
      <c r="D61"/>
      <c r="E61"/>
      <c r="F61"/>
      <c r="G61"/>
      <c r="H61"/>
      <c r="I61"/>
      <c r="J61"/>
      <c r="K61" s="67"/>
      <c r="L61" s="67"/>
      <c r="M61"/>
      <c r="CH61" s="252"/>
      <c r="CI61" s="252"/>
      <c r="CJ61" s="252"/>
      <c r="CK61" s="252"/>
    </row>
    <row r="62" spans="1:89" x14ac:dyDescent="0.4">
      <c r="A62"/>
      <c r="B62" s="49" t="s">
        <v>134</v>
      </c>
      <c r="C62"/>
      <c r="D62"/>
      <c r="E62"/>
      <c r="F62"/>
      <c r="G62"/>
      <c r="H62"/>
      <c r="I62"/>
      <c r="J62"/>
      <c r="K62"/>
      <c r="L62"/>
      <c r="M62"/>
      <c r="CH62" s="252"/>
      <c r="CI62" s="252"/>
      <c r="CJ62" s="252"/>
      <c r="CK62" s="252"/>
    </row>
    <row r="63" spans="1:89" x14ac:dyDescent="0.4">
      <c r="A63">
        <v>2</v>
      </c>
      <c r="B63" s="49" t="s">
        <v>133</v>
      </c>
      <c r="C63"/>
      <c r="D63"/>
      <c r="E63"/>
      <c r="F63"/>
      <c r="G63"/>
      <c r="H63"/>
      <c r="I63"/>
      <c r="J63"/>
      <c r="K63"/>
      <c r="L63"/>
      <c r="M63"/>
      <c r="CH63" s="252"/>
      <c r="CI63" s="252"/>
      <c r="CJ63" s="252"/>
      <c r="CK63" s="252"/>
    </row>
    <row r="64" spans="1:89" x14ac:dyDescent="0.4">
      <c r="A64" s="252">
        <v>3</v>
      </c>
      <c r="B64" s="49" t="s">
        <v>234</v>
      </c>
      <c r="C64" s="97"/>
      <c r="D64" s="98"/>
      <c r="E64" s="99"/>
      <c r="F64" s="98"/>
      <c r="G64" s="262"/>
      <c r="H64" s="262"/>
      <c r="I64" s="262"/>
      <c r="J64" s="262"/>
      <c r="K64"/>
      <c r="L64"/>
      <c r="M64" s="67"/>
      <c r="CH64" s="252"/>
      <c r="CI64" s="252"/>
      <c r="CJ64" s="252"/>
      <c r="CK64" s="252"/>
    </row>
    <row r="65" spans="2:163" x14ac:dyDescent="0.4">
      <c r="B65" s="67"/>
      <c r="C65" s="97"/>
      <c r="D65" s="98"/>
      <c r="E65" s="99"/>
      <c r="F65" s="98"/>
      <c r="G65" s="262"/>
      <c r="H65" s="262"/>
      <c r="I65" s="262"/>
      <c r="J65" s="262"/>
      <c r="K65"/>
      <c r="L65"/>
      <c r="M65" s="67"/>
      <c r="CH65" s="252"/>
      <c r="CI65" s="252"/>
      <c r="CJ65" s="252"/>
      <c r="CK65" s="252"/>
    </row>
    <row r="66" spans="2:163" x14ac:dyDescent="0.4">
      <c r="B66" s="67"/>
      <c r="C66" s="97"/>
      <c r="D66" s="98"/>
      <c r="E66" s="99"/>
      <c r="F66" s="98"/>
      <c r="G66" s="262"/>
      <c r="H66" s="262"/>
      <c r="I66" s="262"/>
      <c r="J66" s="262"/>
      <c r="K66" s="262"/>
      <c r="L66" s="262"/>
      <c r="M66" s="67"/>
      <c r="CH66" s="252"/>
      <c r="CI66" s="252"/>
      <c r="CJ66" s="252"/>
      <c r="CK66" s="252"/>
    </row>
    <row r="67" spans="2:163" x14ac:dyDescent="0.4">
      <c r="B67" s="67"/>
      <c r="C67" s="262"/>
      <c r="D67" s="262"/>
      <c r="E67" s="260"/>
      <c r="F67" s="262"/>
      <c r="G67" s="262"/>
      <c r="H67" s="262"/>
      <c r="I67" s="262"/>
      <c r="J67" s="262"/>
      <c r="K67" s="262"/>
      <c r="L67" s="262"/>
      <c r="M67" s="67"/>
      <c r="CH67" s="252"/>
      <c r="CI67" s="252"/>
      <c r="CJ67" s="252"/>
      <c r="CK67" s="252"/>
    </row>
    <row r="68" spans="2:163" x14ac:dyDescent="0.4">
      <c r="B68" s="67"/>
      <c r="C68" s="97"/>
      <c r="D68" s="97"/>
      <c r="E68" s="91"/>
      <c r="F68" s="97"/>
      <c r="G68" s="97"/>
      <c r="H68" s="97"/>
      <c r="I68" s="97"/>
      <c r="J68" s="97"/>
      <c r="K68" s="262"/>
      <c r="L68" s="262"/>
      <c r="M68" s="67"/>
      <c r="CH68" s="252"/>
      <c r="CI68" s="252"/>
      <c r="CJ68" s="252"/>
      <c r="CK68" s="252"/>
    </row>
    <row r="69" spans="2:163" x14ac:dyDescent="0.4">
      <c r="B69" s="67"/>
      <c r="C69" s="262"/>
      <c r="D69" s="262"/>
      <c r="E69" s="260"/>
      <c r="F69" s="262"/>
      <c r="G69" s="262"/>
      <c r="H69" s="262"/>
      <c r="I69" s="262"/>
      <c r="J69" s="262"/>
      <c r="K69" s="262"/>
      <c r="L69" s="262"/>
      <c r="M69" s="67"/>
      <c r="CH69" s="252"/>
      <c r="CI69" s="252"/>
      <c r="CJ69" s="252"/>
      <c r="CK69" s="252"/>
    </row>
    <row r="70" spans="2:163" x14ac:dyDescent="0.4">
      <c r="B70" s="67"/>
      <c r="C70" s="262"/>
      <c r="D70" s="262"/>
      <c r="E70" s="260"/>
      <c r="F70" s="262"/>
      <c r="G70" s="262"/>
      <c r="H70" s="262"/>
      <c r="I70" s="262"/>
      <c r="J70" s="262"/>
      <c r="K70" s="97"/>
      <c r="L70" s="97"/>
      <c r="M70" s="67"/>
      <c r="CH70" s="252"/>
      <c r="CI70" s="252"/>
      <c r="CJ70" s="252"/>
      <c r="CK70" s="252"/>
    </row>
    <row r="71" spans="2:163" x14ac:dyDescent="0.4">
      <c r="B71" s="67"/>
      <c r="C71" s="262"/>
      <c r="D71" s="262"/>
      <c r="E71" s="260"/>
      <c r="F71" s="262"/>
      <c r="G71" s="262"/>
      <c r="H71" s="262"/>
      <c r="I71" s="262"/>
      <c r="J71" s="262"/>
      <c r="K71" s="262"/>
      <c r="L71" s="262"/>
      <c r="M71" s="67"/>
      <c r="CH71" s="252"/>
      <c r="CI71" s="252"/>
      <c r="CJ71" s="252"/>
      <c r="CK71" s="252"/>
    </row>
    <row r="72" spans="2:163" x14ac:dyDescent="0.4">
      <c r="B72" s="67"/>
      <c r="C72" s="262"/>
      <c r="D72" s="262"/>
      <c r="E72" s="260"/>
      <c r="F72" s="262"/>
      <c r="G72" s="262"/>
      <c r="H72" s="262"/>
      <c r="I72" s="262"/>
      <c r="J72" s="262"/>
      <c r="K72" s="262"/>
      <c r="L72" s="262"/>
      <c r="M72" s="67"/>
      <c r="CH72" s="252"/>
      <c r="CI72" s="252"/>
      <c r="CJ72" s="252"/>
      <c r="CK72" s="252"/>
    </row>
    <row r="73" spans="2:163" x14ac:dyDescent="0.4">
      <c r="B73" s="67"/>
      <c r="C73" s="262"/>
      <c r="D73" s="262"/>
      <c r="E73" s="260"/>
      <c r="F73" s="262"/>
      <c r="G73" s="262"/>
      <c r="H73" s="262"/>
      <c r="I73" s="262"/>
      <c r="J73" s="262"/>
      <c r="K73" s="262"/>
      <c r="L73" s="262"/>
      <c r="M73" s="67"/>
      <c r="CH73" s="252"/>
      <c r="CI73" s="252"/>
      <c r="CJ73" s="252"/>
      <c r="CK73" s="252"/>
    </row>
    <row r="74" spans="2:163" x14ac:dyDescent="0.4">
      <c r="B74" s="67"/>
      <c r="C74" s="67"/>
      <c r="D74" s="67"/>
      <c r="E74" s="260"/>
      <c r="F74" s="67"/>
      <c r="G74" s="67"/>
      <c r="H74" s="67"/>
      <c r="I74" s="67"/>
      <c r="J74" s="67"/>
      <c r="K74" s="262"/>
      <c r="L74" s="262"/>
      <c r="M74" s="67"/>
      <c r="CH74" s="252"/>
      <c r="CI74" s="252"/>
      <c r="CJ74" s="252"/>
      <c r="CK74" s="252"/>
    </row>
    <row r="75" spans="2:163" x14ac:dyDescent="0.4">
      <c r="B75" s="67"/>
      <c r="C75" s="67"/>
      <c r="D75" s="67"/>
      <c r="E75" s="67"/>
      <c r="F75" s="67"/>
      <c r="G75" s="67"/>
      <c r="H75" s="67"/>
      <c r="I75" s="67"/>
      <c r="J75" s="67"/>
      <c r="K75" s="262"/>
      <c r="L75" s="262"/>
      <c r="M75" s="67"/>
      <c r="CH75" s="252"/>
      <c r="CI75" s="252"/>
      <c r="CJ75" s="252"/>
      <c r="CK75" s="252"/>
    </row>
    <row r="76" spans="2:163" x14ac:dyDescent="0.4">
      <c r="B76" s="67"/>
      <c r="C76" s="67"/>
      <c r="D76" s="67"/>
      <c r="E76" s="67"/>
      <c r="F76" s="67"/>
      <c r="G76" s="67"/>
      <c r="H76" s="67"/>
      <c r="I76" s="67"/>
      <c r="J76" s="67"/>
      <c r="K76" s="67"/>
      <c r="L76" s="67"/>
      <c r="M76" s="67"/>
      <c r="CH76" s="252"/>
      <c r="CI76" s="252"/>
      <c r="CJ76" s="252"/>
      <c r="CK76" s="252"/>
    </row>
    <row r="77" spans="2:163" x14ac:dyDescent="0.4">
      <c r="B77" s="67"/>
      <c r="C77" s="67"/>
      <c r="D77" s="67"/>
      <c r="E77" s="67"/>
      <c r="F77" s="67"/>
      <c r="G77" s="67"/>
      <c r="H77" s="67"/>
      <c r="I77" s="67"/>
      <c r="J77" s="67"/>
      <c r="K77" s="67"/>
      <c r="L77" s="67"/>
      <c r="M77" s="67"/>
      <c r="CH77" s="252"/>
      <c r="CI77" s="252"/>
      <c r="CJ77" s="252"/>
      <c r="CK77" s="252"/>
    </row>
    <row r="78" spans="2:163" x14ac:dyDescent="0.4">
      <c r="B78" s="67"/>
      <c r="C78" s="67"/>
      <c r="D78" s="67"/>
      <c r="E78" s="67"/>
      <c r="F78" s="67"/>
      <c r="G78" s="67"/>
      <c r="H78" s="67"/>
      <c r="I78" s="67"/>
      <c r="J78" s="67"/>
      <c r="K78" s="67"/>
      <c r="L78" s="67"/>
      <c r="M78" s="67"/>
      <c r="CH78" s="252"/>
      <c r="CI78" s="252"/>
      <c r="CJ78" s="252"/>
      <c r="CK78" s="252"/>
    </row>
    <row r="79" spans="2:163" x14ac:dyDescent="0.4">
      <c r="J79" s="67"/>
      <c r="K79" s="67"/>
      <c r="L79" s="67"/>
      <c r="M79" s="67"/>
      <c r="Q79" s="81"/>
      <c r="R79" s="86"/>
      <c r="S79" s="86"/>
      <c r="U79" s="100"/>
      <c r="Y79" s="260"/>
      <c r="Z79" s="260"/>
      <c r="AA79" s="260"/>
      <c r="AB79" s="81"/>
      <c r="AC79" s="85"/>
      <c r="AD79" s="86"/>
      <c r="AE79" s="101"/>
      <c r="AF79" s="86"/>
      <c r="AG79" s="86"/>
      <c r="AH79" s="260"/>
      <c r="AI79" s="81"/>
      <c r="AJ79" s="86"/>
      <c r="AK79" s="86"/>
      <c r="AM79" s="100"/>
      <c r="AO79" s="100"/>
      <c r="AP79" s="260"/>
      <c r="AQ79" s="260"/>
      <c r="AR79" s="81"/>
      <c r="AS79" s="85"/>
      <c r="AT79" s="86"/>
      <c r="AU79" s="101"/>
      <c r="AV79" s="86"/>
      <c r="AW79" s="86"/>
      <c r="AX79" s="260"/>
      <c r="AY79" s="81"/>
      <c r="AZ79" s="86"/>
      <c r="BA79" s="86"/>
      <c r="BC79" s="100"/>
      <c r="BE79" s="100"/>
      <c r="BF79" s="260"/>
      <c r="BG79" s="260"/>
      <c r="BH79" s="81"/>
      <c r="BI79" s="85"/>
      <c r="BJ79" s="86"/>
      <c r="BK79" s="101"/>
      <c r="BL79" s="86"/>
      <c r="BM79" s="86"/>
      <c r="BN79" s="260"/>
      <c r="BO79" s="81"/>
      <c r="BP79" s="86"/>
      <c r="BQ79" s="86"/>
      <c r="CK79" s="252"/>
    </row>
    <row r="80" spans="2:163" x14ac:dyDescent="0.4">
      <c r="J80" s="67"/>
      <c r="K80" s="67"/>
      <c r="L80" s="67"/>
      <c r="M80" s="67"/>
      <c r="AB80" s="262"/>
      <c r="AC80" s="91"/>
      <c r="AD80" s="97"/>
      <c r="AE80" s="97"/>
      <c r="AF80" s="91"/>
      <c r="AG80" s="97"/>
      <c r="AH80" s="97"/>
      <c r="AI80" s="97"/>
      <c r="AJ80" s="97"/>
      <c r="AK80" s="97"/>
      <c r="AR80" s="262"/>
      <c r="AS80" s="91"/>
      <c r="AT80" s="97"/>
      <c r="AU80" s="97"/>
      <c r="AV80" s="91"/>
      <c r="AW80" s="97"/>
      <c r="AX80" s="97"/>
      <c r="AY80" s="97"/>
      <c r="AZ80" s="97"/>
      <c r="BA80" s="97"/>
      <c r="BH80" s="262"/>
      <c r="BI80" s="91"/>
      <c r="BJ80" s="97"/>
      <c r="BK80" s="97"/>
      <c r="BL80" s="91"/>
      <c r="BM80" s="97"/>
      <c r="BN80" s="97"/>
      <c r="BO80" s="97"/>
      <c r="BP80" s="97"/>
      <c r="BQ80" s="97"/>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c r="EO80" s="66"/>
      <c r="EP80" s="66"/>
      <c r="EQ80" s="66"/>
      <c r="ER80" s="66"/>
      <c r="ES80" s="66"/>
      <c r="ET80" s="66"/>
      <c r="EU80" s="66"/>
      <c r="EV80" s="66"/>
      <c r="EW80" s="66"/>
      <c r="EX80" s="66"/>
      <c r="EY80" s="66"/>
      <c r="EZ80" s="66"/>
      <c r="FA80" s="66"/>
      <c r="FB80" s="66"/>
      <c r="FC80" s="66"/>
      <c r="FD80" s="66"/>
      <c r="FE80" s="66"/>
      <c r="FF80" s="66"/>
      <c r="FG80" s="66"/>
    </row>
    <row r="81" spans="1:163" x14ac:dyDescent="0.4">
      <c r="J81" s="67"/>
      <c r="K81" s="67"/>
      <c r="L81" s="67"/>
      <c r="M81" s="67"/>
      <c r="AB81" s="262"/>
      <c r="AC81" s="91"/>
      <c r="AD81" s="97"/>
      <c r="AE81" s="97"/>
      <c r="AF81" s="91"/>
      <c r="AG81" s="97"/>
      <c r="AH81" s="97"/>
      <c r="AI81" s="97"/>
      <c r="AJ81" s="97"/>
      <c r="AK81" s="97"/>
      <c r="AR81" s="262"/>
      <c r="AS81" s="91"/>
      <c r="AT81" s="97"/>
      <c r="AU81" s="97"/>
      <c r="AV81" s="91"/>
      <c r="AW81" s="97"/>
      <c r="AX81" s="97"/>
      <c r="AY81" s="97"/>
      <c r="AZ81" s="97"/>
      <c r="BA81" s="97"/>
      <c r="BH81" s="262"/>
      <c r="BI81" s="91"/>
      <c r="BJ81" s="97"/>
      <c r="BK81" s="97"/>
      <c r="BL81" s="91"/>
      <c r="BM81" s="97"/>
      <c r="BN81" s="97"/>
      <c r="BO81" s="97"/>
      <c r="BP81" s="97"/>
      <c r="BQ81" s="97"/>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66"/>
      <c r="FE81" s="66"/>
      <c r="FF81" s="66"/>
      <c r="FG81" s="66"/>
    </row>
    <row r="82" spans="1:163" x14ac:dyDescent="0.4">
      <c r="J82" s="67"/>
      <c r="K82" s="67"/>
      <c r="L82" s="67"/>
      <c r="M82" s="67"/>
      <c r="AB82" s="262"/>
      <c r="AC82" s="91"/>
      <c r="AD82" s="97"/>
      <c r="AE82" s="97"/>
      <c r="AF82" s="91"/>
      <c r="AG82" s="97"/>
      <c r="AH82" s="97"/>
      <c r="AI82" s="97"/>
      <c r="AJ82" s="97"/>
      <c r="AK82" s="97"/>
      <c r="AR82" s="262"/>
      <c r="AS82" s="91"/>
      <c r="AT82" s="97"/>
      <c r="AU82" s="97"/>
      <c r="AV82" s="91"/>
      <c r="AW82" s="97"/>
      <c r="AX82" s="97"/>
      <c r="AY82" s="97"/>
      <c r="AZ82" s="97"/>
      <c r="BA82" s="97"/>
      <c r="BH82" s="262"/>
      <c r="BI82" s="91"/>
      <c r="BJ82" s="97"/>
      <c r="BK82" s="97"/>
      <c r="BL82" s="91"/>
      <c r="BM82" s="97"/>
      <c r="BN82" s="97"/>
      <c r="BO82" s="97"/>
      <c r="BP82" s="97"/>
      <c r="BQ82" s="97"/>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6"/>
      <c r="FF82" s="66"/>
      <c r="FG82" s="66"/>
    </row>
    <row r="83" spans="1:163" x14ac:dyDescent="0.4">
      <c r="J83" s="67"/>
      <c r="K83" s="67"/>
      <c r="L83" s="67"/>
      <c r="M83" s="67"/>
      <c r="AB83" s="262"/>
      <c r="AC83" s="91"/>
      <c r="AD83" s="262"/>
      <c r="AE83" s="98"/>
      <c r="AF83" s="99"/>
      <c r="AG83" s="98"/>
      <c r="AH83" s="262"/>
      <c r="AI83" s="262"/>
      <c r="AJ83" s="262"/>
      <c r="AK83" s="262"/>
      <c r="AR83" s="262"/>
      <c r="AS83" s="91"/>
      <c r="AT83" s="262"/>
      <c r="AU83" s="98"/>
      <c r="AV83" s="99"/>
      <c r="AW83" s="98"/>
      <c r="AX83" s="262"/>
      <c r="AY83" s="262"/>
      <c r="AZ83" s="262"/>
      <c r="BA83" s="262"/>
      <c r="BH83" s="262"/>
      <c r="BI83" s="91"/>
      <c r="BJ83" s="262"/>
      <c r="BK83" s="98"/>
      <c r="BL83" s="99"/>
      <c r="BM83" s="98"/>
      <c r="BN83" s="262"/>
      <c r="BO83" s="262"/>
      <c r="BP83" s="262"/>
      <c r="BQ83" s="262"/>
    </row>
    <row r="84" spans="1:163" x14ac:dyDescent="0.4">
      <c r="J84" s="67"/>
      <c r="K84" s="67"/>
      <c r="L84" s="67"/>
      <c r="M84" s="67"/>
      <c r="AB84" s="262"/>
      <c r="AC84" s="91"/>
      <c r="AD84" s="97"/>
      <c r="AE84" s="98"/>
      <c r="AF84" s="99"/>
      <c r="AG84" s="98"/>
      <c r="AH84" s="262"/>
      <c r="AI84" s="262"/>
      <c r="AJ84" s="262"/>
      <c r="AK84" s="262"/>
      <c r="AR84" s="262"/>
      <c r="AS84" s="91"/>
      <c r="AT84" s="97"/>
      <c r="AU84" s="98"/>
      <c r="AV84" s="99"/>
      <c r="AW84" s="98"/>
      <c r="AX84" s="262"/>
      <c r="AY84" s="262"/>
      <c r="AZ84" s="262"/>
      <c r="BA84" s="262"/>
      <c r="BH84" s="262"/>
      <c r="BI84" s="91"/>
      <c r="BJ84" s="97"/>
      <c r="BK84" s="98"/>
      <c r="BL84" s="99"/>
      <c r="BM84" s="98"/>
      <c r="BN84" s="262"/>
      <c r="BO84" s="262"/>
      <c r="BP84" s="262"/>
      <c r="BQ84" s="262"/>
    </row>
    <row r="85" spans="1:163" x14ac:dyDescent="0.4">
      <c r="J85" s="67"/>
      <c r="K85" s="67"/>
      <c r="L85" s="67"/>
      <c r="M85" s="67"/>
      <c r="AB85" s="262"/>
      <c r="AC85" s="91"/>
      <c r="AD85" s="97"/>
      <c r="AE85" s="98"/>
      <c r="AF85" s="99"/>
      <c r="AG85" s="98"/>
      <c r="AH85" s="262"/>
      <c r="AI85" s="262"/>
      <c r="AJ85" s="262"/>
      <c r="AK85" s="262"/>
      <c r="AR85" s="262"/>
      <c r="AS85" s="91"/>
      <c r="AT85" s="97"/>
      <c r="AU85" s="98"/>
      <c r="AV85" s="99"/>
      <c r="AW85" s="98"/>
      <c r="AX85" s="262"/>
      <c r="AY85" s="262"/>
      <c r="AZ85" s="262"/>
      <c r="BA85" s="262"/>
      <c r="BH85" s="262"/>
      <c r="BI85" s="91"/>
      <c r="BJ85" s="97"/>
      <c r="BK85" s="98"/>
      <c r="BL85" s="99"/>
      <c r="BM85" s="98"/>
      <c r="BN85" s="262"/>
      <c r="BO85" s="262"/>
      <c r="BP85" s="262"/>
      <c r="BQ85" s="262"/>
    </row>
    <row r="86" spans="1:163" x14ac:dyDescent="0.4">
      <c r="J86" s="67"/>
      <c r="K86" s="67"/>
      <c r="L86" s="67"/>
      <c r="M86" s="67"/>
      <c r="AB86" s="262"/>
      <c r="AC86" s="102"/>
      <c r="AD86" s="97"/>
      <c r="AE86" s="98"/>
      <c r="AF86" s="99"/>
      <c r="AG86" s="98"/>
      <c r="AH86" s="262"/>
      <c r="AI86" s="262"/>
      <c r="AJ86" s="262"/>
      <c r="AK86" s="262"/>
      <c r="AR86" s="262"/>
      <c r="AS86" s="102"/>
      <c r="AT86" s="97"/>
      <c r="AU86" s="98"/>
      <c r="AV86" s="99"/>
      <c r="AW86" s="98"/>
      <c r="AX86" s="262"/>
      <c r="AY86" s="262"/>
      <c r="AZ86" s="262"/>
      <c r="BA86" s="262"/>
      <c r="BH86" s="262"/>
      <c r="BI86" s="102"/>
      <c r="BJ86" s="97"/>
      <c r="BK86" s="98"/>
      <c r="BL86" s="99"/>
      <c r="BM86" s="98"/>
      <c r="BN86" s="262"/>
      <c r="BO86" s="262"/>
      <c r="BP86" s="262"/>
      <c r="BQ86" s="262"/>
    </row>
    <row r="87" spans="1:163" x14ac:dyDescent="0.4">
      <c r="J87" s="67"/>
      <c r="K87" s="67"/>
      <c r="L87" s="67"/>
      <c r="M87" s="67"/>
      <c r="AB87" s="97"/>
      <c r="AC87" s="91"/>
      <c r="AD87" s="97"/>
      <c r="AE87" s="97"/>
      <c r="AF87" s="91"/>
      <c r="AG87" s="97"/>
      <c r="AH87" s="97"/>
      <c r="AI87" s="97"/>
      <c r="AJ87" s="97"/>
      <c r="AK87" s="97"/>
      <c r="AR87" s="97"/>
      <c r="AS87" s="91"/>
      <c r="AT87" s="97"/>
      <c r="AU87" s="97"/>
      <c r="AV87" s="91"/>
      <c r="AW87" s="97"/>
      <c r="AX87" s="97"/>
      <c r="AY87" s="97"/>
      <c r="AZ87" s="97"/>
      <c r="BA87" s="97"/>
      <c r="BH87" s="97"/>
      <c r="BI87" s="91"/>
      <c r="BJ87" s="97"/>
      <c r="BK87" s="97"/>
      <c r="BL87" s="91"/>
      <c r="BM87" s="97"/>
      <c r="BN87" s="97"/>
      <c r="BO87" s="97"/>
      <c r="BP87" s="97"/>
      <c r="BQ87" s="97"/>
    </row>
    <row r="88" spans="1:163" x14ac:dyDescent="0.4">
      <c r="J88" s="67"/>
      <c r="K88" s="67"/>
      <c r="L88" s="67"/>
      <c r="M88" s="67"/>
      <c r="AB88" s="262"/>
      <c r="AC88" s="260"/>
      <c r="AD88" s="262"/>
      <c r="AE88" s="262"/>
      <c r="AF88" s="260"/>
      <c r="AG88" s="262"/>
      <c r="AH88" s="262"/>
      <c r="AI88" s="262"/>
      <c r="AJ88" s="262"/>
      <c r="AK88" s="262"/>
      <c r="AR88" s="262"/>
      <c r="AS88" s="260"/>
      <c r="AT88" s="262"/>
      <c r="AU88" s="262"/>
      <c r="AV88" s="260"/>
      <c r="AW88" s="262"/>
      <c r="AX88" s="262"/>
      <c r="AY88" s="262"/>
      <c r="AZ88" s="262"/>
      <c r="BA88" s="262"/>
      <c r="BH88" s="262"/>
      <c r="BI88" s="260"/>
      <c r="BJ88" s="262"/>
      <c r="BK88" s="262"/>
      <c r="BL88" s="260"/>
      <c r="BM88" s="262"/>
      <c r="BN88" s="262"/>
      <c r="BO88" s="262"/>
      <c r="BP88" s="262"/>
      <c r="BQ88" s="262"/>
    </row>
    <row r="89" spans="1:163" x14ac:dyDescent="0.4">
      <c r="J89" s="67"/>
      <c r="K89" s="67"/>
      <c r="L89" s="67"/>
      <c r="M89" s="67"/>
      <c r="AB89" s="262"/>
      <c r="AC89" s="260"/>
      <c r="AD89" s="262"/>
      <c r="AE89" s="262"/>
      <c r="AF89" s="260"/>
      <c r="AG89" s="262"/>
      <c r="AH89" s="262"/>
      <c r="AI89" s="262"/>
      <c r="AJ89" s="262"/>
      <c r="AK89" s="262"/>
      <c r="AR89" s="262"/>
      <c r="AS89" s="260"/>
      <c r="AT89" s="262"/>
      <c r="AU89" s="262"/>
      <c r="AV89" s="260"/>
      <c r="AW89" s="262"/>
      <c r="AX89" s="262"/>
      <c r="AY89" s="262"/>
      <c r="AZ89" s="262"/>
      <c r="BA89" s="262"/>
      <c r="BH89" s="262"/>
      <c r="BI89" s="260"/>
      <c r="BJ89" s="262"/>
      <c r="BK89" s="262"/>
      <c r="BL89" s="260"/>
      <c r="BM89" s="262"/>
      <c r="BN89" s="262"/>
      <c r="BO89" s="262"/>
      <c r="BP89" s="262"/>
      <c r="BQ89" s="262"/>
    </row>
    <row r="90" spans="1:163" x14ac:dyDescent="0.4">
      <c r="J90" s="67"/>
      <c r="K90" s="67"/>
      <c r="L90" s="67"/>
      <c r="M90" s="67"/>
      <c r="AB90" s="262"/>
      <c r="AC90" s="103"/>
      <c r="AD90" s="262"/>
      <c r="AE90" s="262"/>
      <c r="AF90" s="260"/>
      <c r="AG90" s="262"/>
      <c r="AH90" s="262"/>
      <c r="AI90" s="262"/>
      <c r="AJ90" s="262"/>
      <c r="AK90" s="262"/>
      <c r="AR90" s="262"/>
      <c r="AS90" s="103"/>
      <c r="AT90" s="262"/>
      <c r="AU90" s="262"/>
      <c r="AV90" s="260"/>
      <c r="AW90" s="262"/>
      <c r="AX90" s="262"/>
      <c r="AY90" s="262"/>
      <c r="AZ90" s="262"/>
      <c r="BA90" s="262"/>
      <c r="BH90" s="262"/>
      <c r="BI90" s="103"/>
      <c r="BJ90" s="262"/>
      <c r="BK90" s="262"/>
      <c r="BL90" s="260"/>
      <c r="BM90" s="262"/>
      <c r="BN90" s="262"/>
      <c r="BO90" s="262"/>
      <c r="BP90" s="262"/>
      <c r="BQ90" s="262"/>
    </row>
    <row r="91" spans="1:163" s="66" customFormat="1" x14ac:dyDescent="0.4">
      <c r="A91" s="252"/>
      <c r="B91" s="252"/>
      <c r="C91" s="252"/>
      <c r="D91" s="252"/>
      <c r="E91" s="252"/>
      <c r="F91" s="252"/>
      <c r="G91" s="252"/>
      <c r="H91" s="252"/>
      <c r="I91" s="252"/>
      <c r="J91" s="67"/>
      <c r="K91" s="67"/>
      <c r="L91" s="67"/>
      <c r="M91" s="67"/>
      <c r="N91" s="67"/>
      <c r="O91" s="67"/>
      <c r="P91" s="67"/>
      <c r="Q91" s="67"/>
      <c r="R91" s="67"/>
      <c r="S91" s="67"/>
      <c r="T91" s="67"/>
      <c r="U91" s="67"/>
      <c r="V91" s="67"/>
      <c r="W91" s="67"/>
      <c r="X91" s="67"/>
      <c r="Y91" s="67"/>
      <c r="Z91" s="67"/>
      <c r="AA91" s="67"/>
      <c r="AB91" s="262"/>
      <c r="AC91" s="81"/>
      <c r="AD91" s="262"/>
      <c r="AE91" s="262"/>
      <c r="AF91" s="260"/>
      <c r="AG91" s="262"/>
      <c r="AH91" s="262"/>
      <c r="AI91" s="262"/>
      <c r="AJ91" s="262"/>
      <c r="AK91" s="262"/>
      <c r="AL91" s="67"/>
      <c r="AM91" s="67"/>
      <c r="AN91" s="67"/>
      <c r="AO91" s="67"/>
      <c r="AP91" s="67"/>
      <c r="AQ91" s="67"/>
      <c r="AR91" s="262"/>
      <c r="AS91" s="81"/>
      <c r="AT91" s="262"/>
      <c r="AU91" s="262"/>
      <c r="AV91" s="260"/>
      <c r="AW91" s="262"/>
      <c r="AX91" s="262"/>
      <c r="AY91" s="262"/>
      <c r="AZ91" s="262"/>
      <c r="BA91" s="262"/>
      <c r="BB91" s="67"/>
      <c r="BC91" s="67"/>
      <c r="BD91" s="67"/>
      <c r="BE91" s="67"/>
      <c r="BF91" s="67"/>
      <c r="BG91" s="67"/>
      <c r="BH91" s="262"/>
      <c r="BI91" s="81"/>
      <c r="BJ91" s="262"/>
      <c r="BK91" s="262"/>
      <c r="BL91" s="260"/>
      <c r="BM91" s="262"/>
      <c r="BN91" s="262"/>
      <c r="BO91" s="262"/>
      <c r="BP91" s="262"/>
      <c r="BQ91" s="262"/>
      <c r="BR91" s="67"/>
      <c r="BS91" s="67"/>
      <c r="BT91" s="67"/>
      <c r="BU91" s="67"/>
      <c r="BV91" s="67"/>
      <c r="BW91" s="67"/>
      <c r="BX91" s="67"/>
      <c r="BY91" s="67"/>
      <c r="BZ91" s="67"/>
      <c r="CA91" s="67"/>
      <c r="CB91" s="67"/>
      <c r="CC91" s="67"/>
      <c r="CD91" s="67"/>
      <c r="CE91" s="67"/>
      <c r="CF91" s="67"/>
      <c r="CG91" s="67"/>
      <c r="CH91" s="67"/>
      <c r="CI91" s="67"/>
      <c r="CJ91" s="67"/>
      <c r="CK91" s="67"/>
    </row>
    <row r="92" spans="1:163" s="66" customFormat="1" x14ac:dyDescent="0.4">
      <c r="A92" s="252"/>
      <c r="B92" s="252"/>
      <c r="C92" s="252"/>
      <c r="D92" s="252"/>
      <c r="E92" s="252"/>
      <c r="F92" s="252"/>
      <c r="G92" s="252"/>
      <c r="H92" s="252"/>
      <c r="I92" s="252"/>
      <c r="J92" s="67"/>
      <c r="K92" s="67"/>
      <c r="L92" s="67"/>
      <c r="M92" s="67"/>
      <c r="N92" s="67"/>
      <c r="O92" s="67"/>
      <c r="P92" s="67"/>
      <c r="Q92" s="67"/>
      <c r="R92" s="67"/>
      <c r="S92" s="67"/>
      <c r="T92" s="67"/>
      <c r="U92" s="67"/>
      <c r="V92" s="67"/>
      <c r="W92" s="67"/>
      <c r="X92" s="67"/>
      <c r="Y92" s="67"/>
      <c r="Z92" s="67"/>
      <c r="AA92" s="67"/>
      <c r="AB92" s="262"/>
      <c r="AC92" s="81"/>
      <c r="AD92" s="262"/>
      <c r="AE92" s="262"/>
      <c r="AF92" s="260"/>
      <c r="AG92" s="262"/>
      <c r="AH92" s="262"/>
      <c r="AI92" s="262"/>
      <c r="AJ92" s="262"/>
      <c r="AK92" s="262"/>
      <c r="AL92" s="67"/>
      <c r="AM92" s="67"/>
      <c r="AN92" s="67"/>
      <c r="AO92" s="67"/>
      <c r="AP92" s="67"/>
      <c r="AQ92" s="67"/>
      <c r="AR92" s="262"/>
      <c r="AS92" s="81"/>
      <c r="AT92" s="262"/>
      <c r="AU92" s="262"/>
      <c r="AV92" s="260"/>
      <c r="AW92" s="262"/>
      <c r="AX92" s="262"/>
      <c r="AY92" s="262"/>
      <c r="AZ92" s="262"/>
      <c r="BA92" s="262"/>
      <c r="BB92" s="67"/>
      <c r="BC92" s="67"/>
      <c r="BD92" s="67"/>
      <c r="BE92" s="67"/>
      <c r="BF92" s="67"/>
      <c r="BG92" s="67"/>
      <c r="BH92" s="262"/>
      <c r="BI92" s="81"/>
      <c r="BJ92" s="262"/>
      <c r="BK92" s="262"/>
      <c r="BL92" s="260"/>
      <c r="BM92" s="262"/>
      <c r="BN92" s="262"/>
      <c r="BO92" s="262"/>
      <c r="BP92" s="262"/>
      <c r="BQ92" s="262"/>
      <c r="BR92" s="67"/>
      <c r="BS92" s="67"/>
      <c r="BT92" s="67"/>
      <c r="BU92" s="67"/>
      <c r="BV92" s="67"/>
      <c r="BW92" s="67"/>
      <c r="BX92" s="67"/>
      <c r="BY92" s="67"/>
      <c r="BZ92" s="67"/>
      <c r="CA92" s="67"/>
      <c r="CB92" s="67"/>
      <c r="CC92" s="67"/>
      <c r="CD92" s="67"/>
      <c r="CE92" s="67"/>
      <c r="CF92" s="67"/>
      <c r="CG92" s="67"/>
      <c r="CH92" s="67"/>
      <c r="CI92" s="67"/>
      <c r="CJ92" s="67"/>
      <c r="CK92" s="67"/>
    </row>
    <row r="93" spans="1:163" s="66" customFormat="1" x14ac:dyDescent="0.4">
      <c r="A93" s="252"/>
      <c r="B93" s="252"/>
      <c r="C93" s="252"/>
      <c r="D93" s="252"/>
      <c r="E93" s="252"/>
      <c r="F93" s="252"/>
      <c r="G93" s="252"/>
      <c r="H93" s="252"/>
      <c r="I93" s="252"/>
      <c r="J93" s="67"/>
      <c r="K93" s="67"/>
      <c r="L93" s="67"/>
      <c r="M93" s="67"/>
      <c r="N93" s="67"/>
      <c r="O93" s="67"/>
      <c r="P93" s="67"/>
      <c r="Q93" s="67"/>
      <c r="R93" s="67"/>
      <c r="S93" s="67"/>
      <c r="T93" s="67"/>
      <c r="U93" s="67"/>
      <c r="V93" s="67"/>
      <c r="W93" s="67"/>
      <c r="X93" s="67"/>
      <c r="Y93" s="67"/>
      <c r="Z93" s="67"/>
      <c r="AA93" s="67"/>
      <c r="AB93" s="67"/>
      <c r="AC93" s="67"/>
      <c r="AD93" s="67"/>
      <c r="AE93" s="67"/>
      <c r="AF93" s="260"/>
      <c r="AG93" s="67"/>
      <c r="AH93" s="67"/>
      <c r="AI93" s="67"/>
      <c r="AJ93" s="67"/>
      <c r="AK93" s="67"/>
      <c r="AL93" s="67"/>
      <c r="AM93" s="67"/>
      <c r="AN93" s="67"/>
      <c r="AO93" s="67"/>
      <c r="AP93" s="67"/>
      <c r="AQ93" s="67"/>
      <c r="AR93" s="67"/>
      <c r="AS93" s="67"/>
      <c r="AT93" s="67"/>
      <c r="AU93" s="67"/>
      <c r="AV93" s="260"/>
      <c r="AW93" s="67"/>
      <c r="AX93" s="67"/>
      <c r="AY93" s="67"/>
      <c r="AZ93" s="67"/>
      <c r="BA93" s="67"/>
      <c r="BB93" s="67"/>
      <c r="BC93" s="67"/>
      <c r="BD93" s="67"/>
      <c r="BE93" s="67"/>
      <c r="BF93" s="67"/>
      <c r="BG93" s="67"/>
      <c r="BH93" s="67"/>
      <c r="BI93" s="67"/>
      <c r="BJ93" s="67"/>
      <c r="BK93" s="67"/>
      <c r="BL93" s="260"/>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67"/>
    </row>
    <row r="94" spans="1:163" s="66" customFormat="1" x14ac:dyDescent="0.4">
      <c r="A94" s="252"/>
      <c r="B94" s="252"/>
      <c r="C94" s="252"/>
      <c r="D94" s="252"/>
      <c r="E94" s="252"/>
      <c r="F94" s="252"/>
      <c r="G94" s="252"/>
      <c r="H94" s="252"/>
      <c r="I94" s="252"/>
      <c r="J94" s="67"/>
      <c r="K94" s="67"/>
      <c r="L94" s="67"/>
      <c r="M94" s="67"/>
      <c r="N94" s="67"/>
      <c r="O94" s="67"/>
      <c r="P94" s="67"/>
      <c r="Q94" s="67"/>
      <c r="R94" s="67"/>
      <c r="S94" s="67"/>
      <c r="T94" s="67"/>
      <c r="U94" s="67"/>
      <c r="V94" s="67"/>
      <c r="W94" s="67"/>
      <c r="X94" s="67"/>
      <c r="Y94" s="67"/>
      <c r="Z94" s="67"/>
      <c r="AA94" s="67"/>
      <c r="AB94" s="67"/>
      <c r="AC94" s="67"/>
      <c r="AD94" s="67"/>
      <c r="AE94" s="67"/>
      <c r="AF94" s="260"/>
      <c r="AG94" s="67"/>
      <c r="AH94" s="67"/>
      <c r="AI94" s="67"/>
      <c r="AJ94" s="67"/>
      <c r="AK94" s="67"/>
      <c r="AL94" s="67"/>
      <c r="AM94" s="67"/>
      <c r="AN94" s="67"/>
      <c r="AO94" s="67"/>
      <c r="AP94" s="67"/>
      <c r="AQ94" s="67"/>
      <c r="AR94" s="67"/>
      <c r="AS94" s="67"/>
      <c r="AT94" s="67"/>
      <c r="AU94" s="67"/>
      <c r="AV94" s="260"/>
      <c r="AW94" s="67"/>
      <c r="AX94" s="67"/>
      <c r="AY94" s="67"/>
      <c r="AZ94" s="67"/>
      <c r="BA94" s="67"/>
      <c r="BB94" s="67"/>
      <c r="BC94" s="67"/>
      <c r="BD94" s="67"/>
      <c r="BE94" s="67"/>
      <c r="BF94" s="67"/>
      <c r="BG94" s="67"/>
      <c r="BH94" s="67"/>
      <c r="BI94" s="67"/>
      <c r="BJ94" s="67"/>
      <c r="BK94" s="67"/>
      <c r="BL94" s="260"/>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row>
    <row r="95" spans="1:163" x14ac:dyDescent="0.4">
      <c r="J95" s="67"/>
      <c r="K95" s="67"/>
      <c r="L95" s="67"/>
      <c r="M95" s="67"/>
      <c r="AF95" s="260"/>
      <c r="AV95" s="260"/>
      <c r="BL95" s="260"/>
    </row>
    <row r="96" spans="1:163" x14ac:dyDescent="0.4">
      <c r="J96" s="67"/>
      <c r="K96" s="67"/>
      <c r="L96" s="67"/>
      <c r="M96" s="67"/>
      <c r="AF96" s="260"/>
      <c r="AV96" s="260"/>
      <c r="BL96" s="260"/>
    </row>
    <row r="97" spans="10:64" x14ac:dyDescent="0.4">
      <c r="J97" s="67"/>
      <c r="K97" s="67"/>
      <c r="L97" s="67"/>
      <c r="M97" s="67"/>
      <c r="AF97" s="260"/>
      <c r="AV97" s="260"/>
      <c r="BL97" s="260"/>
    </row>
    <row r="98" spans="10:64" x14ac:dyDescent="0.4">
      <c r="J98" s="67"/>
      <c r="K98" s="67"/>
      <c r="L98" s="67"/>
      <c r="M98" s="67"/>
      <c r="AF98" s="260"/>
      <c r="AV98" s="260"/>
      <c r="BL98" s="260"/>
    </row>
    <row r="99" spans="10:64" x14ac:dyDescent="0.4">
      <c r="J99" s="67"/>
      <c r="K99" s="67"/>
      <c r="L99" s="67"/>
      <c r="M99" s="67"/>
      <c r="AF99" s="260"/>
      <c r="AV99" s="260"/>
      <c r="BL99" s="260"/>
    </row>
    <row r="100" spans="10:64" x14ac:dyDescent="0.4">
      <c r="J100" s="67"/>
      <c r="K100" s="67"/>
      <c r="L100" s="67"/>
      <c r="M100" s="67"/>
      <c r="AF100" s="260"/>
      <c r="AV100" s="260"/>
      <c r="BL100" s="260"/>
    </row>
    <row r="101" spans="10:64" x14ac:dyDescent="0.4">
      <c r="J101" s="67"/>
      <c r="K101" s="67"/>
      <c r="L101" s="67"/>
      <c r="M101" s="67"/>
      <c r="AF101" s="260"/>
      <c r="AV101" s="260"/>
      <c r="BL101" s="260"/>
    </row>
    <row r="102" spans="10:64" x14ac:dyDescent="0.4">
      <c r="K102" s="67"/>
      <c r="L102" s="67"/>
      <c r="AF102" s="260"/>
      <c r="AV102" s="260"/>
      <c r="BL102" s="260"/>
    </row>
    <row r="103" spans="10:64" x14ac:dyDescent="0.4">
      <c r="K103" s="67"/>
      <c r="L103" s="67"/>
      <c r="AF103" s="260"/>
      <c r="AV103" s="260"/>
      <c r="BL103" s="260"/>
    </row>
    <row r="104" spans="10:64" x14ac:dyDescent="0.4">
      <c r="AF104" s="260"/>
      <c r="AV104" s="260"/>
      <c r="BL104" s="260"/>
    </row>
    <row r="105" spans="10:64" x14ac:dyDescent="0.4">
      <c r="AF105" s="260"/>
      <c r="AV105" s="260"/>
      <c r="BL105" s="260"/>
    </row>
    <row r="106" spans="10:64" x14ac:dyDescent="0.4">
      <c r="AF106" s="260"/>
      <c r="AV106" s="260"/>
      <c r="BL106" s="260"/>
    </row>
    <row r="107" spans="10:64" x14ac:dyDescent="0.4">
      <c r="AF107" s="260"/>
      <c r="AV107" s="260"/>
      <c r="BL107" s="260"/>
    </row>
    <row r="108" spans="10:64" x14ac:dyDescent="0.4">
      <c r="AF108" s="260"/>
      <c r="AV108" s="260"/>
      <c r="BL108" s="260"/>
    </row>
    <row r="109" spans="10:64" x14ac:dyDescent="0.4">
      <c r="AF109" s="260"/>
      <c r="AV109" s="260"/>
      <c r="BL109" s="260"/>
    </row>
    <row r="110" spans="10:64" x14ac:dyDescent="0.4">
      <c r="AF110" s="260"/>
      <c r="AV110" s="260"/>
      <c r="BL110" s="260"/>
    </row>
    <row r="111" spans="10:64" x14ac:dyDescent="0.4">
      <c r="AF111" s="260"/>
      <c r="AV111" s="260"/>
      <c r="BL111" s="260"/>
    </row>
    <row r="112" spans="10:64" x14ac:dyDescent="0.4">
      <c r="AF112" s="260"/>
      <c r="AV112" s="260"/>
      <c r="BL112" s="260"/>
    </row>
  </sheetData>
  <sheetProtection selectLockedCells="1"/>
  <mergeCells count="45">
    <mergeCell ref="U3:V3"/>
    <mergeCell ref="C3:D3"/>
    <mergeCell ref="F3:H3"/>
    <mergeCell ref="I3:J3"/>
    <mergeCell ref="O3:P3"/>
    <mergeCell ref="R3:T3"/>
    <mergeCell ref="AB6:AC6"/>
    <mergeCell ref="AE6:AG6"/>
    <mergeCell ref="AB3:AC3"/>
    <mergeCell ref="AE3:AG3"/>
    <mergeCell ref="AH3:AI3"/>
    <mergeCell ref="AE4:AG4"/>
    <mergeCell ref="AH4:AI4"/>
    <mergeCell ref="AH6:AI6"/>
    <mergeCell ref="AB4:AC4"/>
    <mergeCell ref="U5:V5"/>
    <mergeCell ref="AB5:AC5"/>
    <mergeCell ref="AE5:AG5"/>
    <mergeCell ref="AH5:AI5"/>
    <mergeCell ref="C4:D4"/>
    <mergeCell ref="F4:H4"/>
    <mergeCell ref="I4:J4"/>
    <mergeCell ref="O4:P4"/>
    <mergeCell ref="R4:T4"/>
    <mergeCell ref="C5:D5"/>
    <mergeCell ref="F5:H5"/>
    <mergeCell ref="I5:J5"/>
    <mergeCell ref="O5:P5"/>
    <mergeCell ref="R5:T5"/>
    <mergeCell ref="U4:V4"/>
    <mergeCell ref="C9:D9"/>
    <mergeCell ref="O9:P9"/>
    <mergeCell ref="AB9:AC9"/>
    <mergeCell ref="C7:D7"/>
    <mergeCell ref="O7:P7"/>
    <mergeCell ref="AB7:AC7"/>
    <mergeCell ref="C8:D8"/>
    <mergeCell ref="O8:P8"/>
    <mergeCell ref="AB8:AC8"/>
    <mergeCell ref="U6:V6"/>
    <mergeCell ref="C6:D6"/>
    <mergeCell ref="F6:H6"/>
    <mergeCell ref="I6:J6"/>
    <mergeCell ref="O6:P6"/>
    <mergeCell ref="R6:T6"/>
  </mergeCells>
  <pageMargins left="0.7" right="0.7" top="0.75" bottom="0.75" header="0.3" footer="0.3"/>
  <pageSetup scale="63" orientation="landscape" r:id="rId1"/>
  <headerFooter>
    <oddHeader>&amp;C&amp;G</oddHeader>
    <oddFooter xml:space="preserve">&amp;RSunDx INTWKSHT20191021
</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AM33"/>
  <sheetViews>
    <sheetView zoomScale="110" zoomScaleNormal="110" workbookViewId="0">
      <selection activeCell="J26" sqref="J26"/>
    </sheetView>
  </sheetViews>
  <sheetFormatPr defaultRowHeight="12.7" x14ac:dyDescent="0.4"/>
  <cols>
    <col min="1" max="1" width="8.52734375" customWidth="1"/>
    <col min="2" max="2" width="14.234375" customWidth="1"/>
    <col min="3" max="3" width="13.87890625" bestFit="1" customWidth="1"/>
    <col min="4" max="4" width="9.64453125" bestFit="1" customWidth="1"/>
    <col min="5" max="5" width="10.41015625" bestFit="1" customWidth="1"/>
    <col min="6" max="6" width="8.1171875" bestFit="1" customWidth="1"/>
    <col min="7" max="7" width="7.87890625" customWidth="1"/>
    <col min="8" max="8" width="8.1171875" customWidth="1"/>
    <col min="9" max="9" width="8.87890625" customWidth="1"/>
    <col min="10" max="10" width="4.64453125" bestFit="1" customWidth="1"/>
    <col min="11" max="11" width="4.64453125" customWidth="1"/>
    <col min="12" max="13" width="13.234375" bestFit="1" customWidth="1"/>
    <col min="14" max="14" width="9.234375" bestFit="1" customWidth="1"/>
    <col min="15" max="15" width="9.87890625" style="4" bestFit="1" customWidth="1"/>
    <col min="16" max="16" width="6.234375" style="4" bestFit="1" customWidth="1"/>
    <col min="17" max="17" width="7.41015625" style="4" bestFit="1" customWidth="1"/>
    <col min="18" max="18" width="7.87890625" style="4" bestFit="1" customWidth="1"/>
    <col min="19" max="19" width="8.64453125" style="4" bestFit="1" customWidth="1"/>
    <col min="20" max="20" width="7.87890625" style="4" customWidth="1"/>
    <col min="21" max="21" width="4.87890625" style="4" customWidth="1"/>
    <col min="22" max="22" width="16.1171875" style="4" customWidth="1"/>
    <col min="23" max="23" width="13.234375" style="4" bestFit="1" customWidth="1"/>
    <col min="24" max="24" width="9.234375" style="4" bestFit="1" customWidth="1"/>
    <col min="25" max="25" width="9.87890625" style="4" bestFit="1" customWidth="1"/>
    <col min="26" max="26" width="8.1171875" style="4" bestFit="1" customWidth="1"/>
    <col min="27" max="27" width="7.41015625" style="4" bestFit="1" customWidth="1"/>
    <col min="28" max="28" width="7.87890625" bestFit="1" customWidth="1"/>
    <col min="29" max="29" width="8.64453125" bestFit="1" customWidth="1"/>
    <col min="30" max="30" width="5.52734375" bestFit="1" customWidth="1"/>
    <col min="31" max="31" width="10.1171875" customWidth="1"/>
  </cols>
  <sheetData>
    <row r="1" spans="1:39" ht="13" thickBot="1" x14ac:dyDescent="0.45">
      <c r="B1" s="49" t="s">
        <v>100</v>
      </c>
      <c r="L1" s="49" t="s">
        <v>103</v>
      </c>
      <c r="O1"/>
      <c r="P1"/>
      <c r="Q1"/>
      <c r="R1"/>
      <c r="S1"/>
      <c r="T1"/>
      <c r="U1"/>
      <c r="V1" s="49" t="s">
        <v>104</v>
      </c>
      <c r="W1"/>
      <c r="X1"/>
      <c r="Y1"/>
      <c r="Z1"/>
      <c r="AA1"/>
    </row>
    <row r="2" spans="1:39" x14ac:dyDescent="0.4">
      <c r="B2" s="35" t="s">
        <v>80</v>
      </c>
      <c r="C2" s="362" t="s">
        <v>81</v>
      </c>
      <c r="D2" s="360" t="s">
        <v>70</v>
      </c>
      <c r="E2" s="37"/>
      <c r="F2" s="37"/>
      <c r="G2" s="37"/>
      <c r="H2" s="37"/>
      <c r="I2" s="43"/>
      <c r="J2" s="45"/>
      <c r="K2" s="150"/>
      <c r="L2" s="148" t="s">
        <v>80</v>
      </c>
      <c r="M2" s="362" t="s">
        <v>81</v>
      </c>
      <c r="N2" s="360" t="s">
        <v>70</v>
      </c>
      <c r="O2" s="37"/>
      <c r="P2" s="37"/>
      <c r="Q2" s="37"/>
      <c r="R2" s="37"/>
      <c r="S2" s="43"/>
      <c r="T2" s="37"/>
      <c r="U2" s="37"/>
      <c r="V2" s="148" t="s">
        <v>80</v>
      </c>
      <c r="W2" s="362" t="s">
        <v>81</v>
      </c>
      <c r="X2" s="360" t="s">
        <v>70</v>
      </c>
      <c r="Y2" s="37"/>
      <c r="Z2" s="37"/>
      <c r="AA2" s="37"/>
      <c r="AB2" s="37"/>
      <c r="AC2" s="43"/>
      <c r="AD2" s="37"/>
      <c r="AE2" s="37"/>
      <c r="AF2" s="37"/>
      <c r="AG2" s="37"/>
      <c r="AH2" s="37"/>
      <c r="AI2" s="43"/>
      <c r="AJ2" s="54"/>
      <c r="AK2" s="54"/>
      <c r="AL2" s="42"/>
      <c r="AM2" s="50"/>
    </row>
    <row r="3" spans="1:39" x14ac:dyDescent="0.4">
      <c r="B3" s="36" t="s">
        <v>153</v>
      </c>
      <c r="C3" s="363"/>
      <c r="D3" s="361"/>
      <c r="E3" s="38" t="s">
        <v>91</v>
      </c>
      <c r="F3" s="38" t="s">
        <v>71</v>
      </c>
      <c r="G3" s="38" t="s">
        <v>72</v>
      </c>
      <c r="H3" s="38" t="s">
        <v>73</v>
      </c>
      <c r="I3" s="44" t="s">
        <v>74</v>
      </c>
      <c r="J3" s="45"/>
      <c r="K3" s="151"/>
      <c r="L3" s="149" t="s">
        <v>153</v>
      </c>
      <c r="M3" s="363"/>
      <c r="N3" s="361"/>
      <c r="O3" s="38" t="s">
        <v>91</v>
      </c>
      <c r="P3" s="38" t="s">
        <v>71</v>
      </c>
      <c r="Q3" s="38" t="s">
        <v>72</v>
      </c>
      <c r="R3" s="38" t="s">
        <v>73</v>
      </c>
      <c r="S3" s="44" t="s">
        <v>74</v>
      </c>
      <c r="T3" s="38"/>
      <c r="U3" s="38"/>
      <c r="V3" s="149" t="s">
        <v>153</v>
      </c>
      <c r="W3" s="363"/>
      <c r="X3" s="361"/>
      <c r="Y3" s="38" t="s">
        <v>91</v>
      </c>
      <c r="Z3" s="38" t="s">
        <v>71</v>
      </c>
      <c r="AA3" s="38" t="s">
        <v>72</v>
      </c>
      <c r="AB3" s="38" t="s">
        <v>73</v>
      </c>
      <c r="AC3" s="44" t="s">
        <v>74</v>
      </c>
      <c r="AD3" s="38"/>
      <c r="AE3" s="38"/>
      <c r="AF3" s="38"/>
      <c r="AG3" s="38"/>
      <c r="AH3" s="38"/>
      <c r="AI3" s="44"/>
      <c r="AJ3" s="54"/>
      <c r="AK3" s="54"/>
      <c r="AL3" s="53"/>
      <c r="AM3" s="50"/>
    </row>
    <row r="4" spans="1:39" x14ac:dyDescent="0.4">
      <c r="A4" s="58"/>
      <c r="B4" s="41" t="str">
        <f>IF(ISNUMBER(' Dose-Response Worksheet 1'!#REF!),' Dose-Response Worksheet 1'!#REF!, "")</f>
        <v/>
      </c>
      <c r="C4" s="52" t="str">
        <f>IF(ISNUMBER(' Dose-Response Worksheet 1'!#REF!),' Dose-Response Worksheet 1'!#REF!,"")</f>
        <v/>
      </c>
      <c r="D4" s="39" t="e">
        <f>IF(' Dose-Response Worksheet 1'!#REF!&lt;&gt;"",($B$4-' Dose-Response Worksheet 1'!#REF!)^2,"")</f>
        <v>#REF!</v>
      </c>
      <c r="E4" s="146" t="e">
        <f>IF(' Dose-Response Worksheet 1'!#REF!&lt;&gt;"",(B$4*' Dose-Response Worksheet 1'!#REF!)+' Dose-Response Worksheet 1'!#REF!,"")</f>
        <v>#REF!</v>
      </c>
      <c r="F4" s="40" t="e">
        <f>IF(' Dose-Response Worksheet 1'!#REF!&lt;&gt;"",TINV(0.05,' Dose-Response Worksheet 1'!#REF!)*' Dose-Response Worksheet 1'!#REF!*SQRT(1/' Dose-Response Worksheet 1'!#REF!+D4/' Dose-Response Worksheet 1'!#REF!),"")</f>
        <v>#REF!</v>
      </c>
      <c r="G4" s="39" t="e">
        <f>IF(' Dose-Response Worksheet 1'!#REF!="","",$E$4-$F$4)</f>
        <v>#REF!</v>
      </c>
      <c r="H4" s="39" t="e">
        <f>IF(' Dose-Response Worksheet 1'!#REF!="","",$E$4+$F$4)</f>
        <v>#REF!</v>
      </c>
      <c r="I4" s="34" t="e">
        <f>IF(' Dose-Response Worksheet 1'!#REF!&lt;&gt;"",($C$4-$E$4)^2,"")</f>
        <v>#REF!</v>
      </c>
      <c r="J4" s="46" t="str">
        <f>IF(B4="","",B4)</f>
        <v/>
      </c>
      <c r="K4" s="46"/>
      <c r="L4" s="41" t="str">
        <f>IF(ISNUMBER('Dose-Response Worksheet 2'!#REF!),'Dose-Response Worksheet 2'!#REF!, "")</f>
        <v/>
      </c>
      <c r="M4" s="52" t="str">
        <f>IF(ISNUMBER('Dose-Response Worksheet 2'!#REF!),'Dose-Response Worksheet 2'!#REF!,"")</f>
        <v/>
      </c>
      <c r="N4" s="146" t="e">
        <f>IF('Dose-Response Worksheet 2'!#REF!&lt;&gt;"",($L$4-'Dose-Response Worksheet 2'!#REF!)^2,"")</f>
        <v>#REF!</v>
      </c>
      <c r="O4" s="146" t="e">
        <f>IF('Dose-Response Worksheet 2'!#REF!&lt;&gt;"",($L4*'Dose-Response Worksheet 2'!#REF!)+'Dose-Response Worksheet 2'!#REF!,"")</f>
        <v>#REF!</v>
      </c>
      <c r="P4" s="40" t="e">
        <f>IF('Dose-Response Worksheet 2'!#REF!&lt;&gt;"",TINV(0.05,'Dose-Response Worksheet 2'!#REF!)*'Dose-Response Worksheet 2'!#REF!*SQRT(1/'Dose-Response Worksheet 2'!#REF!+N4/'Dose-Response Worksheet 2'!#REF!),"")</f>
        <v>#REF!</v>
      </c>
      <c r="Q4" s="146" t="e">
        <f>IF('Dose-Response Worksheet 2'!#REF!="","",$O4-$P4)</f>
        <v>#REF!</v>
      </c>
      <c r="R4" s="146" t="e">
        <f>IF('Dose-Response Worksheet 2'!#REF!="","",$O4+$P4)</f>
        <v>#REF!</v>
      </c>
      <c r="S4" s="147" t="e">
        <f>IF('Dose-Response Worksheet 2'!#REF!&lt;&gt;"",($M4-$O4)^2,"")</f>
        <v>#REF!</v>
      </c>
      <c r="T4" s="46" t="str">
        <f>IF(L4="","",L4)</f>
        <v/>
      </c>
      <c r="U4" s="39"/>
      <c r="V4" s="41" t="str">
        <f>IF(ISNUMBER('Dose-Response Worksheet 3'!#REF!),'Dose-Response Worksheet 3'!#REF!,"")</f>
        <v/>
      </c>
      <c r="W4" s="52" t="str">
        <f>IF(ISNUMBER('Dose-Response Worksheet 3'!#REF!),'Dose-Response Worksheet 3'!#REF!,"")</f>
        <v/>
      </c>
      <c r="X4" s="146" t="e">
        <f>IF('Dose-Response Worksheet 3'!#REF!&lt;&gt;"",($V4-'Dose-Response Worksheet 3'!#REF!)^2,"")</f>
        <v>#REF!</v>
      </c>
      <c r="Y4" s="146" t="e">
        <f>IF('Dose-Response Worksheet 3'!#REF!&lt;&gt;"",($V4*'Dose-Response Worksheet 3'!#REF!)+'Dose-Response Worksheet 3'!#REF!,"")</f>
        <v>#REF!</v>
      </c>
      <c r="Z4" s="40" t="e">
        <f>IF('Dose-Response Worksheet 3'!#REF!&lt;&gt;"",TINV(0.05,'Dose-Response Worksheet 3'!#REF!)*'Dose-Response Worksheet 3'!#REF!*SQRT(1/'Dose-Response Worksheet 3'!#REF!+X4/'Dose-Response Worksheet 3'!#REF!),"")</f>
        <v>#REF!</v>
      </c>
      <c r="AA4" s="146" t="e">
        <f>IF('Dose-Response Worksheet 3'!#REF!="","",$Y4-$Z4)</f>
        <v>#REF!</v>
      </c>
      <c r="AB4" s="146" t="e">
        <f>IF('Dose-Response Worksheet 3'!#REF!="","",$Y4+$Z4)</f>
        <v>#REF!</v>
      </c>
      <c r="AC4" s="147" t="e">
        <f>IF('Dose-Response Worksheet 3'!#REF!&lt;&gt;"",($W4-$Y4)^2,"")</f>
        <v>#REF!</v>
      </c>
      <c r="AD4" s="46" t="str">
        <f>IF(V4="","",V4)</f>
        <v/>
      </c>
      <c r="AE4" s="39"/>
      <c r="AF4" s="40"/>
      <c r="AG4" s="39"/>
      <c r="AH4" s="39"/>
      <c r="AI4" s="47"/>
      <c r="AJ4" s="46"/>
      <c r="AK4" s="51"/>
      <c r="AL4" s="51"/>
      <c r="AM4" s="51"/>
    </row>
    <row r="5" spans="1:39" x14ac:dyDescent="0.4">
      <c r="A5" s="58"/>
      <c r="B5" s="41" t="str">
        <f>IF(ISNUMBER(' Dose-Response Worksheet 1'!#REF!),' Dose-Response Worksheet 1'!#REF!, "")</f>
        <v/>
      </c>
      <c r="C5" s="52" t="str">
        <f>IF(ISNUMBER(' Dose-Response Worksheet 1'!#REF!),' Dose-Response Worksheet 1'!#REF!,"")</f>
        <v/>
      </c>
      <c r="D5" s="146" t="e">
        <f>IF(' Dose-Response Worksheet 1'!#REF!&lt;&gt;"",(B5-' Dose-Response Worksheet 1'!#REF!)^2,"")</f>
        <v>#REF!</v>
      </c>
      <c r="E5" s="39" t="e">
        <f>IF(' Dose-Response Worksheet 1'!#REF!&lt;&gt;"",(B$5*' Dose-Response Worksheet 1'!#REF!)+' Dose-Response Worksheet 1'!#REF!,"")</f>
        <v>#REF!</v>
      </c>
      <c r="F5" s="40" t="e">
        <f>IF(' Dose-Response Worksheet 1'!#REF!&lt;&gt;"",TINV(0.05,' Dose-Response Worksheet 1'!#REF!)*' Dose-Response Worksheet 1'!#REF!*SQRT(1/' Dose-Response Worksheet 1'!#REF!+D5/' Dose-Response Worksheet 1'!#REF!),"")</f>
        <v>#REF!</v>
      </c>
      <c r="G5" s="146" t="e">
        <f>IF(' Dose-Response Worksheet 1'!#REF!="","",E5-F5)</f>
        <v>#REF!</v>
      </c>
      <c r="H5" s="146" t="e">
        <f>IF(' Dose-Response Worksheet 1'!#REF!="","",E5+F5)</f>
        <v>#REF!</v>
      </c>
      <c r="I5" s="147" t="e">
        <f>IF(' Dose-Response Worksheet 1'!#REF!&lt;&gt;"",(C5-E5)^2,"")</f>
        <v>#REF!</v>
      </c>
      <c r="J5" s="46" t="str">
        <f t="shared" ref="J5:J28" si="0">IF(B5="","",B5)</f>
        <v/>
      </c>
      <c r="K5" s="46"/>
      <c r="L5" s="41" t="str">
        <f>IF(ISNUMBER('Dose-Response Worksheet 2'!#REF!),'Dose-Response Worksheet 2'!#REF!, "")</f>
        <v/>
      </c>
      <c r="M5" s="52" t="str">
        <f>IF(ISNUMBER('Dose-Response Worksheet 2'!#REF!),'Dose-Response Worksheet 2'!#REF!,"")</f>
        <v/>
      </c>
      <c r="N5" s="146" t="e">
        <f>IF('Dose-Response Worksheet 2'!#REF!&lt;&gt;"",($L5-'Dose-Response Worksheet 2'!#REF!)^2,"")</f>
        <v>#REF!</v>
      </c>
      <c r="O5" s="146" t="e">
        <f>IF('Dose-Response Worksheet 2'!#REF!&lt;&gt;"",($L5*'Dose-Response Worksheet 2'!#REF!)+'Dose-Response Worksheet 2'!#REF!,"")</f>
        <v>#REF!</v>
      </c>
      <c r="P5" s="40" t="e">
        <f>IF('Dose-Response Worksheet 2'!#REF!&lt;&gt;"",TINV(0.05,'Dose-Response Worksheet 2'!#REF!)*'Dose-Response Worksheet 2'!#REF!*SQRT(1/'Dose-Response Worksheet 2'!#REF!+N5/'Dose-Response Worksheet 2'!#REF!),"")</f>
        <v>#REF!</v>
      </c>
      <c r="Q5" s="146" t="e">
        <f>IF('Dose-Response Worksheet 2'!#REF!="","",$O5-$P5)</f>
        <v>#REF!</v>
      </c>
      <c r="R5" s="146" t="e">
        <f>IF('Dose-Response Worksheet 2'!#REF!="","",$O5+$P5)</f>
        <v>#REF!</v>
      </c>
      <c r="S5" s="147" t="e">
        <f>IF('Dose-Response Worksheet 2'!#REF!&lt;&gt;"",($M5-$O5)^2,"")</f>
        <v>#REF!</v>
      </c>
      <c r="T5" s="46" t="str">
        <f t="shared" ref="T5:T28" si="1">IF(L5="","",L5)</f>
        <v/>
      </c>
      <c r="U5" s="39"/>
      <c r="V5" s="41" t="str">
        <f>IF(ISNUMBER('Dose-Response Worksheet 3'!#REF!),'Dose-Response Worksheet 3'!#REF!,"")</f>
        <v/>
      </c>
      <c r="W5" s="52" t="str">
        <f>IF(ISNUMBER('Dose-Response Worksheet 3'!#REF!),'Dose-Response Worksheet 3'!#REF!,"")</f>
        <v/>
      </c>
      <c r="X5" s="146" t="e">
        <f>IF('Dose-Response Worksheet 3'!#REF!&lt;&gt;"",($V5-'Dose-Response Worksheet 3'!#REF!)^2,"")</f>
        <v>#REF!</v>
      </c>
      <c r="Y5" s="146" t="e">
        <f>IF('Dose-Response Worksheet 3'!#REF!&lt;&gt;"",($V5*'Dose-Response Worksheet 3'!#REF!)+'Dose-Response Worksheet 3'!#REF!,"")</f>
        <v>#REF!</v>
      </c>
      <c r="Z5" s="40" t="e">
        <f>IF('Dose-Response Worksheet 3'!#REF!&lt;&gt;"",TINV(0.05,'Dose-Response Worksheet 3'!#REF!)*'Dose-Response Worksheet 3'!#REF!*SQRT(1/'Dose-Response Worksheet 3'!#REF!+X5/'Dose-Response Worksheet 3'!#REF!),"")</f>
        <v>#REF!</v>
      </c>
      <c r="AA5" s="146" t="e">
        <f>IF('Dose-Response Worksheet 3'!#REF!="","",$Y5-$Z5)</f>
        <v>#REF!</v>
      </c>
      <c r="AB5" s="146" t="e">
        <f>IF('Dose-Response Worksheet 3'!#REF!="","",$Y5+$Z5)</f>
        <v>#REF!</v>
      </c>
      <c r="AC5" s="147" t="e">
        <f>IF('Dose-Response Worksheet 3'!#REF!&lt;&gt;"",($W5-$Y5)^2,"")</f>
        <v>#REF!</v>
      </c>
      <c r="AD5" s="46" t="str">
        <f t="shared" ref="AD5:AD28" si="2">IF(V5="","",V5)</f>
        <v/>
      </c>
      <c r="AE5" s="39"/>
      <c r="AF5" s="40"/>
      <c r="AG5" s="39"/>
      <c r="AH5" s="39"/>
      <c r="AI5" s="47"/>
      <c r="AJ5" s="46"/>
      <c r="AK5" s="51"/>
      <c r="AL5" s="51"/>
      <c r="AM5" s="51"/>
    </row>
    <row r="6" spans="1:39" x14ac:dyDescent="0.4">
      <c r="A6" s="58"/>
      <c r="B6" s="41" t="str">
        <f>IF(ISNUMBER(' Dose-Response Worksheet 1'!#REF!),' Dose-Response Worksheet 1'!#REF!, "")</f>
        <v/>
      </c>
      <c r="C6" s="52" t="str">
        <f>IF(ISNUMBER(' Dose-Response Worksheet 1'!#REF!),' Dose-Response Worksheet 1'!#REF!,"")</f>
        <v/>
      </c>
      <c r="D6" s="146" t="e">
        <f>IF(' Dose-Response Worksheet 1'!#REF!&lt;&gt;"",(B6-' Dose-Response Worksheet 1'!#REF!)^2,"")</f>
        <v>#REF!</v>
      </c>
      <c r="E6" s="39" t="e">
        <f>IF(' Dose-Response Worksheet 1'!#REF!&lt;&gt;"",(B$6*' Dose-Response Worksheet 1'!#REF!)+' Dose-Response Worksheet 1'!#REF!,"")</f>
        <v>#REF!</v>
      </c>
      <c r="F6" s="40" t="e">
        <f>IF(' Dose-Response Worksheet 1'!#REF!&lt;&gt;"",TINV(0.05,' Dose-Response Worksheet 1'!#REF!)*' Dose-Response Worksheet 1'!#REF!*SQRT(1/' Dose-Response Worksheet 1'!#REF!+D6/' Dose-Response Worksheet 1'!#REF!),"")</f>
        <v>#REF!</v>
      </c>
      <c r="G6" s="146" t="e">
        <f>IF(' Dose-Response Worksheet 1'!#REF!="","",E6-F6)</f>
        <v>#REF!</v>
      </c>
      <c r="H6" s="146" t="e">
        <f>IF(' Dose-Response Worksheet 1'!#REF!="","",E6+F6)</f>
        <v>#REF!</v>
      </c>
      <c r="I6" s="147" t="e">
        <f>IF(' Dose-Response Worksheet 1'!#REF!&lt;&gt;"",(C6-E6)^2,"")</f>
        <v>#REF!</v>
      </c>
      <c r="J6" s="46" t="str">
        <f t="shared" si="0"/>
        <v/>
      </c>
      <c r="K6" s="46"/>
      <c r="L6" s="41" t="str">
        <f>IF(ISNUMBER('Dose-Response Worksheet 2'!#REF!),'Dose-Response Worksheet 2'!#REF!, "")</f>
        <v/>
      </c>
      <c r="M6" s="52" t="str">
        <f>IF(ISNUMBER('Dose-Response Worksheet 2'!#REF!),'Dose-Response Worksheet 2'!#REF!,"")</f>
        <v/>
      </c>
      <c r="N6" s="146" t="e">
        <f>IF('Dose-Response Worksheet 2'!#REF!&lt;&gt;"",($L6-'Dose-Response Worksheet 2'!#REF!)^2,"")</f>
        <v>#REF!</v>
      </c>
      <c r="O6" s="146" t="e">
        <f>IF('Dose-Response Worksheet 2'!#REF!&lt;&gt;"",($L6*'Dose-Response Worksheet 2'!#REF!)+'Dose-Response Worksheet 2'!#REF!,"")</f>
        <v>#REF!</v>
      </c>
      <c r="P6" s="40" t="e">
        <f>IF('Dose-Response Worksheet 2'!#REF!&lt;&gt;"",TINV(0.05,'Dose-Response Worksheet 2'!#REF!)*'Dose-Response Worksheet 2'!#REF!*SQRT(1/'Dose-Response Worksheet 2'!#REF!+N6/'Dose-Response Worksheet 2'!#REF!),"")</f>
        <v>#REF!</v>
      </c>
      <c r="Q6" s="146" t="e">
        <f>IF('Dose-Response Worksheet 2'!#REF!="","",$O6-$P6)</f>
        <v>#REF!</v>
      </c>
      <c r="R6" s="146" t="e">
        <f>IF('Dose-Response Worksheet 2'!#REF!="","",$O6+$P6)</f>
        <v>#REF!</v>
      </c>
      <c r="S6" s="147" t="e">
        <f>IF('Dose-Response Worksheet 2'!#REF!&lt;&gt;"",($M6-$O6)^2,"")</f>
        <v>#REF!</v>
      </c>
      <c r="T6" s="46" t="str">
        <f t="shared" si="1"/>
        <v/>
      </c>
      <c r="U6" s="39"/>
      <c r="V6" s="41" t="str">
        <f>IF(ISNUMBER('Dose-Response Worksheet 3'!#REF!),'Dose-Response Worksheet 3'!#REF!,"")</f>
        <v/>
      </c>
      <c r="W6" s="52" t="str">
        <f>IF(ISNUMBER('Dose-Response Worksheet 3'!#REF!),'Dose-Response Worksheet 3'!#REF!,"")</f>
        <v/>
      </c>
      <c r="X6" s="146" t="e">
        <f>IF('Dose-Response Worksheet 3'!#REF!&lt;&gt;"",($V6-'Dose-Response Worksheet 3'!#REF!)^2,"")</f>
        <v>#REF!</v>
      </c>
      <c r="Y6" s="146" t="e">
        <f>IF('Dose-Response Worksheet 3'!#REF!&lt;&gt;"",($V6*'Dose-Response Worksheet 3'!#REF!)+'Dose-Response Worksheet 3'!#REF!,"")</f>
        <v>#REF!</v>
      </c>
      <c r="Z6" s="40" t="e">
        <f>IF('Dose-Response Worksheet 3'!#REF!&lt;&gt;"",TINV(0.05,'Dose-Response Worksheet 3'!#REF!)*'Dose-Response Worksheet 3'!#REF!*SQRT(1/'Dose-Response Worksheet 3'!#REF!+X6/'Dose-Response Worksheet 3'!#REF!),"")</f>
        <v>#REF!</v>
      </c>
      <c r="AA6" s="146" t="e">
        <f>IF('Dose-Response Worksheet 3'!#REF!="","",$Y6-$Z6)</f>
        <v>#REF!</v>
      </c>
      <c r="AB6" s="146" t="e">
        <f>IF('Dose-Response Worksheet 3'!#REF!="","",$Y6+$Z6)</f>
        <v>#REF!</v>
      </c>
      <c r="AC6" s="147" t="e">
        <f>IF('Dose-Response Worksheet 3'!#REF!&lt;&gt;"",($W6-$Y6)^2,"")</f>
        <v>#REF!</v>
      </c>
      <c r="AD6" s="46" t="str">
        <f t="shared" si="2"/>
        <v/>
      </c>
      <c r="AE6" s="39"/>
      <c r="AF6" s="40"/>
      <c r="AG6" s="39"/>
      <c r="AH6" s="39"/>
      <c r="AI6" s="47"/>
      <c r="AJ6" s="46"/>
      <c r="AK6" s="51"/>
      <c r="AL6" s="51"/>
      <c r="AM6" s="51"/>
    </row>
    <row r="7" spans="1:39" x14ac:dyDescent="0.4">
      <c r="A7" s="58"/>
      <c r="B7" s="41" t="str">
        <f>IF(ISNUMBER(' Dose-Response Worksheet 1'!#REF!),' Dose-Response Worksheet 1'!#REF!, "")</f>
        <v/>
      </c>
      <c r="C7" s="52" t="str">
        <f>IF(ISNUMBER(' Dose-Response Worksheet 1'!#REF!),' Dose-Response Worksheet 1'!#REF!,"")</f>
        <v/>
      </c>
      <c r="D7" s="146" t="e">
        <f>IF(' Dose-Response Worksheet 1'!#REF!&lt;&gt;"",(B7-' Dose-Response Worksheet 1'!#REF!)^2,"")</f>
        <v>#REF!</v>
      </c>
      <c r="E7" s="39" t="e">
        <f>IF(' Dose-Response Worksheet 1'!#REF!&lt;&gt;"",(B$7*' Dose-Response Worksheet 1'!#REF!)+' Dose-Response Worksheet 1'!#REF!,"")</f>
        <v>#REF!</v>
      </c>
      <c r="F7" s="40" t="e">
        <f>IF(' Dose-Response Worksheet 1'!#REF!&lt;&gt;"",TINV(0.05,' Dose-Response Worksheet 1'!#REF!)*' Dose-Response Worksheet 1'!#REF!*SQRT(1/' Dose-Response Worksheet 1'!#REF!+D7/' Dose-Response Worksheet 1'!#REF!),"")</f>
        <v>#REF!</v>
      </c>
      <c r="G7" s="146" t="e">
        <f>IF(' Dose-Response Worksheet 1'!#REF!="","",E7-F7)</f>
        <v>#REF!</v>
      </c>
      <c r="H7" s="146" t="e">
        <f>IF(' Dose-Response Worksheet 1'!#REF!="","",E7+F7)</f>
        <v>#REF!</v>
      </c>
      <c r="I7" s="147" t="e">
        <f>IF(' Dose-Response Worksheet 1'!#REF!&lt;&gt;"",(C7-E7)^2,"")</f>
        <v>#REF!</v>
      </c>
      <c r="J7" s="46" t="str">
        <f t="shared" si="0"/>
        <v/>
      </c>
      <c r="K7" s="46"/>
      <c r="L7" s="41" t="str">
        <f>IF(ISNUMBER('Dose-Response Worksheet 2'!#REF!),'Dose-Response Worksheet 2'!#REF!, "")</f>
        <v/>
      </c>
      <c r="M7" s="52" t="str">
        <f>IF(ISNUMBER('Dose-Response Worksheet 2'!#REF!),'Dose-Response Worksheet 2'!#REF!,"")</f>
        <v/>
      </c>
      <c r="N7" s="146" t="e">
        <f>IF('Dose-Response Worksheet 2'!#REF!&lt;&gt;"",($L7-'Dose-Response Worksheet 2'!#REF!)^2,"")</f>
        <v>#REF!</v>
      </c>
      <c r="O7" s="146" t="e">
        <f>IF('Dose-Response Worksheet 2'!#REF!&lt;&gt;"",($L7*'Dose-Response Worksheet 2'!#REF!)+'Dose-Response Worksheet 2'!#REF!,"")</f>
        <v>#REF!</v>
      </c>
      <c r="P7" s="40" t="e">
        <f>IF('Dose-Response Worksheet 2'!#REF!&lt;&gt;"",TINV(0.05,'Dose-Response Worksheet 2'!#REF!)*'Dose-Response Worksheet 2'!#REF!*SQRT(1/'Dose-Response Worksheet 2'!#REF!+N7/'Dose-Response Worksheet 2'!#REF!),"")</f>
        <v>#REF!</v>
      </c>
      <c r="Q7" s="146" t="e">
        <f>IF('Dose-Response Worksheet 2'!#REF!="","",$O7-$P7)</f>
        <v>#REF!</v>
      </c>
      <c r="R7" s="146" t="e">
        <f>IF('Dose-Response Worksheet 2'!#REF!="","",$O7+$P7)</f>
        <v>#REF!</v>
      </c>
      <c r="S7" s="147" t="e">
        <f>IF('Dose-Response Worksheet 2'!#REF!&lt;&gt;"",($M7-$O7)^2,"")</f>
        <v>#REF!</v>
      </c>
      <c r="T7" s="46" t="str">
        <f t="shared" si="1"/>
        <v/>
      </c>
      <c r="U7" s="39"/>
      <c r="V7" s="41" t="str">
        <f>IF(ISNUMBER('Dose-Response Worksheet 3'!#REF!),'Dose-Response Worksheet 3'!#REF!,"")</f>
        <v/>
      </c>
      <c r="W7" s="52" t="str">
        <f>IF(ISNUMBER('Dose-Response Worksheet 3'!#REF!),'Dose-Response Worksheet 3'!#REF!,"")</f>
        <v/>
      </c>
      <c r="X7" s="146" t="e">
        <f>IF('Dose-Response Worksheet 3'!#REF!&lt;&gt;"",($V7-'Dose-Response Worksheet 3'!#REF!)^2,"")</f>
        <v>#REF!</v>
      </c>
      <c r="Y7" s="146" t="e">
        <f>IF('Dose-Response Worksheet 3'!#REF!&lt;&gt;"",($V7*'Dose-Response Worksheet 3'!#REF!)+'Dose-Response Worksheet 3'!#REF!,"")</f>
        <v>#REF!</v>
      </c>
      <c r="Z7" s="40" t="e">
        <f>IF('Dose-Response Worksheet 3'!#REF!&lt;&gt;"",TINV(0.05,'Dose-Response Worksheet 3'!#REF!)*'Dose-Response Worksheet 3'!#REF!*SQRT(1/'Dose-Response Worksheet 3'!#REF!+X7/'Dose-Response Worksheet 3'!#REF!),"")</f>
        <v>#REF!</v>
      </c>
      <c r="AA7" s="146" t="e">
        <f>IF('Dose-Response Worksheet 3'!#REF!="","",$Y7-$Z7)</f>
        <v>#REF!</v>
      </c>
      <c r="AB7" s="146" t="e">
        <f>IF('Dose-Response Worksheet 3'!#REF!="","",$Y7+$Z7)</f>
        <v>#REF!</v>
      </c>
      <c r="AC7" s="147" t="e">
        <f>IF('Dose-Response Worksheet 3'!#REF!&lt;&gt;"",($W7-$Y7)^2,"")</f>
        <v>#REF!</v>
      </c>
      <c r="AD7" s="46" t="str">
        <f t="shared" si="2"/>
        <v/>
      </c>
      <c r="AE7" s="39"/>
      <c r="AF7" s="40"/>
      <c r="AG7" s="39"/>
      <c r="AH7" s="39"/>
      <c r="AI7" s="47"/>
      <c r="AJ7" s="46"/>
      <c r="AK7" s="51"/>
      <c r="AL7" s="51"/>
      <c r="AM7" s="51"/>
    </row>
    <row r="8" spans="1:39" x14ac:dyDescent="0.4">
      <c r="A8" s="58"/>
      <c r="B8" s="41" t="str">
        <f>IF(ISNUMBER(' Dose-Response Worksheet 1'!#REF!),' Dose-Response Worksheet 1'!#REF!, "")</f>
        <v/>
      </c>
      <c r="C8" s="52" t="str">
        <f>IF(ISNUMBER(' Dose-Response Worksheet 1'!#REF!),' Dose-Response Worksheet 1'!#REF!,"")</f>
        <v/>
      </c>
      <c r="D8" s="146" t="e">
        <f>IF(' Dose-Response Worksheet 1'!#REF!&lt;&gt;"",(B8-' Dose-Response Worksheet 1'!#REF!)^2,"")</f>
        <v>#REF!</v>
      </c>
      <c r="E8" s="39" t="e">
        <f>IF(' Dose-Response Worksheet 1'!#REF!&lt;&gt;"",(B$8*' Dose-Response Worksheet 1'!#REF!)+' Dose-Response Worksheet 1'!#REF!,"")</f>
        <v>#REF!</v>
      </c>
      <c r="F8" s="40" t="e">
        <f>IF(' Dose-Response Worksheet 1'!#REF!&lt;&gt;"",TINV(0.05,' Dose-Response Worksheet 1'!#REF!)*' Dose-Response Worksheet 1'!#REF!*SQRT(1/' Dose-Response Worksheet 1'!#REF!+D8/' Dose-Response Worksheet 1'!#REF!),"")</f>
        <v>#REF!</v>
      </c>
      <c r="G8" s="146" t="e">
        <f>IF(' Dose-Response Worksheet 1'!#REF!="","",E8-F8)</f>
        <v>#REF!</v>
      </c>
      <c r="H8" s="146" t="e">
        <f>IF(' Dose-Response Worksheet 1'!#REF!="","",E8+F8)</f>
        <v>#REF!</v>
      </c>
      <c r="I8" s="147" t="e">
        <f>IF(' Dose-Response Worksheet 1'!#REF!&lt;&gt;"",(C8-E8)^2,"")</f>
        <v>#REF!</v>
      </c>
      <c r="J8" s="46" t="str">
        <f t="shared" si="0"/>
        <v/>
      </c>
      <c r="K8" s="46"/>
      <c r="L8" s="41" t="str">
        <f>IF(ISNUMBER('Dose-Response Worksheet 2'!#REF!),'Dose-Response Worksheet 2'!#REF!, "")</f>
        <v/>
      </c>
      <c r="M8" s="52" t="str">
        <f>IF(ISNUMBER('Dose-Response Worksheet 2'!#REF!),'Dose-Response Worksheet 2'!#REF!,"")</f>
        <v/>
      </c>
      <c r="N8" s="146" t="e">
        <f>IF('Dose-Response Worksheet 2'!#REF!&lt;&gt;"",($L8-'Dose-Response Worksheet 2'!#REF!)^2,"")</f>
        <v>#REF!</v>
      </c>
      <c r="O8" s="146" t="e">
        <f>IF('Dose-Response Worksheet 2'!#REF!&lt;&gt;"",($L8*'Dose-Response Worksheet 2'!#REF!)+'Dose-Response Worksheet 2'!#REF!,"")</f>
        <v>#REF!</v>
      </c>
      <c r="P8" s="40" t="e">
        <f>IF('Dose-Response Worksheet 2'!#REF!&lt;&gt;"",TINV(0.05,'Dose-Response Worksheet 2'!#REF!)*'Dose-Response Worksheet 2'!#REF!*SQRT(1/'Dose-Response Worksheet 2'!#REF!+N8/'Dose-Response Worksheet 2'!#REF!),"")</f>
        <v>#REF!</v>
      </c>
      <c r="Q8" s="146" t="e">
        <f>IF('Dose-Response Worksheet 2'!#REF!="","",$O8-$P8)</f>
        <v>#REF!</v>
      </c>
      <c r="R8" s="146" t="e">
        <f>IF('Dose-Response Worksheet 2'!#REF!="","",$O8+$P8)</f>
        <v>#REF!</v>
      </c>
      <c r="S8" s="147" t="e">
        <f>IF('Dose-Response Worksheet 2'!#REF!&lt;&gt;"",($M8-$O8)^2,"")</f>
        <v>#REF!</v>
      </c>
      <c r="T8" s="46" t="str">
        <f t="shared" si="1"/>
        <v/>
      </c>
      <c r="U8" s="39"/>
      <c r="V8" s="41" t="str">
        <f>IF(ISNUMBER('Dose-Response Worksheet 3'!#REF!),'Dose-Response Worksheet 3'!#REF!,"")</f>
        <v/>
      </c>
      <c r="W8" s="52" t="str">
        <f>IF(ISNUMBER('Dose-Response Worksheet 3'!#REF!),'Dose-Response Worksheet 3'!#REF!,"")</f>
        <v/>
      </c>
      <c r="X8" s="146" t="e">
        <f>IF('Dose-Response Worksheet 3'!#REF!&lt;&gt;"",($V8-'Dose-Response Worksheet 3'!#REF!)^2,"")</f>
        <v>#REF!</v>
      </c>
      <c r="Y8" s="146" t="e">
        <f>IF('Dose-Response Worksheet 3'!#REF!&lt;&gt;"",($V8*'Dose-Response Worksheet 3'!#REF!)+'Dose-Response Worksheet 3'!#REF!,"")</f>
        <v>#REF!</v>
      </c>
      <c r="Z8" s="40" t="e">
        <f>IF('Dose-Response Worksheet 3'!#REF!&lt;&gt;"",TINV(0.05,'Dose-Response Worksheet 3'!#REF!)*'Dose-Response Worksheet 3'!#REF!*SQRT(1/'Dose-Response Worksheet 3'!#REF!+X8/'Dose-Response Worksheet 3'!#REF!),"")</f>
        <v>#REF!</v>
      </c>
      <c r="AA8" s="146" t="e">
        <f>IF('Dose-Response Worksheet 3'!#REF!="","",$Y8-$Z8)</f>
        <v>#REF!</v>
      </c>
      <c r="AB8" s="146" t="e">
        <f>IF('Dose-Response Worksheet 3'!#REF!="","",$Y8+$Z8)</f>
        <v>#REF!</v>
      </c>
      <c r="AC8" s="147" t="e">
        <f>IF('Dose-Response Worksheet 3'!#REF!&lt;&gt;"",($W8-$Y8)^2,"")</f>
        <v>#REF!</v>
      </c>
      <c r="AD8" s="46" t="str">
        <f t="shared" si="2"/>
        <v/>
      </c>
      <c r="AE8" s="39"/>
      <c r="AF8" s="40"/>
      <c r="AG8" s="39"/>
      <c r="AH8" s="39"/>
      <c r="AI8" s="47"/>
      <c r="AJ8" s="46"/>
      <c r="AK8" s="51"/>
      <c r="AL8" s="51"/>
      <c r="AM8" s="51"/>
    </row>
    <row r="9" spans="1:39" x14ac:dyDescent="0.4">
      <c r="A9" s="58"/>
      <c r="B9" s="41" t="str">
        <f>IF(ISNUMBER(' Dose-Response Worksheet 1'!#REF!),' Dose-Response Worksheet 1'!#REF!, "")</f>
        <v/>
      </c>
      <c r="C9" s="52" t="str">
        <f>IF(ISNUMBER(' Dose-Response Worksheet 1'!#REF!),' Dose-Response Worksheet 1'!#REF!,"")</f>
        <v/>
      </c>
      <c r="D9" s="146" t="e">
        <f>IF(' Dose-Response Worksheet 1'!#REF!&lt;&gt;"",(B9-' Dose-Response Worksheet 1'!#REF!)^2,"")</f>
        <v>#REF!</v>
      </c>
      <c r="E9" s="39" t="e">
        <f>IF(' Dose-Response Worksheet 1'!#REF!&lt;&gt;"",(B$9*' Dose-Response Worksheet 1'!#REF!)+' Dose-Response Worksheet 1'!#REF!,"")</f>
        <v>#REF!</v>
      </c>
      <c r="F9" s="40" t="e">
        <f>IF(' Dose-Response Worksheet 1'!#REF!&lt;&gt;"",TINV(0.05,' Dose-Response Worksheet 1'!#REF!)*' Dose-Response Worksheet 1'!#REF!*SQRT(1/' Dose-Response Worksheet 1'!#REF!+D9/' Dose-Response Worksheet 1'!#REF!),"")</f>
        <v>#REF!</v>
      </c>
      <c r="G9" s="146" t="e">
        <f>IF(' Dose-Response Worksheet 1'!#REF!="","",E9-F9)</f>
        <v>#REF!</v>
      </c>
      <c r="H9" s="146" t="e">
        <f>IF(' Dose-Response Worksheet 1'!#REF!="","",E9+F9)</f>
        <v>#REF!</v>
      </c>
      <c r="I9" s="147" t="e">
        <f>IF(' Dose-Response Worksheet 1'!#REF!&lt;&gt;"",(C9-E9)^2,"")</f>
        <v>#REF!</v>
      </c>
      <c r="J9" s="46" t="str">
        <f t="shared" si="0"/>
        <v/>
      </c>
      <c r="K9" s="46"/>
      <c r="L9" s="41" t="str">
        <f>IF(ISNUMBER('Dose-Response Worksheet 2'!#REF!),'Dose-Response Worksheet 2'!#REF!, "")</f>
        <v/>
      </c>
      <c r="M9" s="52" t="str">
        <f>IF(ISNUMBER('Dose-Response Worksheet 2'!#REF!),'Dose-Response Worksheet 2'!#REF!,"")</f>
        <v/>
      </c>
      <c r="N9" s="146" t="e">
        <f>IF('Dose-Response Worksheet 2'!#REF!&lt;&gt;"",($L9-'Dose-Response Worksheet 2'!#REF!)^2,"")</f>
        <v>#REF!</v>
      </c>
      <c r="O9" s="146" t="e">
        <f>IF('Dose-Response Worksheet 2'!#REF!&lt;&gt;"",($L9*'Dose-Response Worksheet 2'!#REF!)+'Dose-Response Worksheet 2'!#REF!,"")</f>
        <v>#REF!</v>
      </c>
      <c r="P9" s="40" t="e">
        <f>IF('Dose-Response Worksheet 2'!#REF!&lt;&gt;"",TINV(0.05,'Dose-Response Worksheet 2'!#REF!)*'Dose-Response Worksheet 2'!#REF!*SQRT(1/'Dose-Response Worksheet 2'!#REF!+N9/'Dose-Response Worksheet 2'!#REF!),"")</f>
        <v>#REF!</v>
      </c>
      <c r="Q9" s="146" t="e">
        <f>IF('Dose-Response Worksheet 2'!#REF!="","",$O9-$P9)</f>
        <v>#REF!</v>
      </c>
      <c r="R9" s="146" t="e">
        <f>IF('Dose-Response Worksheet 2'!#REF!="","",$O9+$P9)</f>
        <v>#REF!</v>
      </c>
      <c r="S9" s="147" t="e">
        <f>IF('Dose-Response Worksheet 2'!#REF!&lt;&gt;"",($M9-$O9)^2,"")</f>
        <v>#REF!</v>
      </c>
      <c r="T9" s="46" t="str">
        <f t="shared" si="1"/>
        <v/>
      </c>
      <c r="U9" s="39"/>
      <c r="V9" s="41" t="str">
        <f>IF(ISNUMBER('Dose-Response Worksheet 3'!#REF!),'Dose-Response Worksheet 3'!#REF!,"")</f>
        <v/>
      </c>
      <c r="W9" s="52" t="str">
        <f>IF(ISNUMBER('Dose-Response Worksheet 3'!#REF!),'Dose-Response Worksheet 3'!#REF!,"")</f>
        <v/>
      </c>
      <c r="X9" s="146" t="e">
        <f>IF('Dose-Response Worksheet 3'!#REF!&lt;&gt;"",($V9-'Dose-Response Worksheet 3'!#REF!)^2,"")</f>
        <v>#REF!</v>
      </c>
      <c r="Y9" s="146" t="e">
        <f>IF('Dose-Response Worksheet 3'!#REF!&lt;&gt;"",($V9*'Dose-Response Worksheet 3'!#REF!)+'Dose-Response Worksheet 3'!#REF!,"")</f>
        <v>#REF!</v>
      </c>
      <c r="Z9" s="40" t="e">
        <f>IF('Dose-Response Worksheet 3'!#REF!&lt;&gt;"",TINV(0.05,'Dose-Response Worksheet 3'!#REF!)*'Dose-Response Worksheet 3'!#REF!*SQRT(1/'Dose-Response Worksheet 3'!#REF!+X9/'Dose-Response Worksheet 3'!#REF!),"")</f>
        <v>#REF!</v>
      </c>
      <c r="AA9" s="146" t="e">
        <f>IF('Dose-Response Worksheet 3'!#REF!="","",$Y9-$Z9)</f>
        <v>#REF!</v>
      </c>
      <c r="AB9" s="146" t="e">
        <f>IF('Dose-Response Worksheet 3'!#REF!="","",$Y9+$Z9)</f>
        <v>#REF!</v>
      </c>
      <c r="AC9" s="147" t="e">
        <f>IF('Dose-Response Worksheet 3'!#REF!&lt;&gt;"",($W9-$Y9)^2,"")</f>
        <v>#REF!</v>
      </c>
      <c r="AD9" s="46" t="str">
        <f t="shared" si="2"/>
        <v/>
      </c>
      <c r="AE9" s="39"/>
      <c r="AF9" s="40"/>
      <c r="AG9" s="39"/>
      <c r="AH9" s="39"/>
      <c r="AI9" s="47"/>
      <c r="AJ9" s="46"/>
      <c r="AK9" s="51"/>
      <c r="AL9" s="51"/>
      <c r="AM9" s="51"/>
    </row>
    <row r="10" spans="1:39" x14ac:dyDescent="0.4">
      <c r="A10" s="58"/>
      <c r="B10" s="41" t="str">
        <f>IF(ISNUMBER(' Dose-Response Worksheet 1'!#REF!),' Dose-Response Worksheet 1'!#REF!, "")</f>
        <v/>
      </c>
      <c r="C10" s="52" t="str">
        <f>IF(ISNUMBER(' Dose-Response Worksheet 1'!#REF!),' Dose-Response Worksheet 1'!#REF!,"")</f>
        <v/>
      </c>
      <c r="D10" s="146" t="e">
        <f>IF(' Dose-Response Worksheet 1'!#REF!&lt;&gt;"",(B10-' Dose-Response Worksheet 1'!#REF!)^2,"")</f>
        <v>#REF!</v>
      </c>
      <c r="E10" s="39" t="e">
        <f>IF(' Dose-Response Worksheet 1'!#REF!&lt;&gt;"",(B$10*' Dose-Response Worksheet 1'!#REF!)+' Dose-Response Worksheet 1'!#REF!,"")</f>
        <v>#REF!</v>
      </c>
      <c r="F10" s="40" t="e">
        <f>IF(' Dose-Response Worksheet 1'!#REF!&lt;&gt;"",TINV(0.05,' Dose-Response Worksheet 1'!#REF!)*' Dose-Response Worksheet 1'!#REF!*SQRT(1/' Dose-Response Worksheet 1'!#REF!+D10/' Dose-Response Worksheet 1'!#REF!),"")</f>
        <v>#REF!</v>
      </c>
      <c r="G10" s="146" t="e">
        <f>IF(' Dose-Response Worksheet 1'!#REF!="","",E10-F10)</f>
        <v>#REF!</v>
      </c>
      <c r="H10" s="146" t="e">
        <f>IF(' Dose-Response Worksheet 1'!#REF!="","",E10+F10)</f>
        <v>#REF!</v>
      </c>
      <c r="I10" s="147" t="e">
        <f>IF(' Dose-Response Worksheet 1'!#REF!&lt;&gt;"",(C10-E10)^2,"")</f>
        <v>#REF!</v>
      </c>
      <c r="J10" s="46" t="str">
        <f t="shared" si="0"/>
        <v/>
      </c>
      <c r="K10" s="46"/>
      <c r="L10" s="41" t="str">
        <f>IF(ISNUMBER('Dose-Response Worksheet 2'!#REF!),'Dose-Response Worksheet 2'!#REF!, "")</f>
        <v/>
      </c>
      <c r="M10" s="52" t="str">
        <f>IF(ISNUMBER('Dose-Response Worksheet 2'!#REF!),'Dose-Response Worksheet 2'!#REF!,"")</f>
        <v/>
      </c>
      <c r="N10" s="146" t="e">
        <f>IF('Dose-Response Worksheet 2'!#REF!&lt;&gt;"",($L10-'Dose-Response Worksheet 2'!#REF!)^2,"")</f>
        <v>#REF!</v>
      </c>
      <c r="O10" s="146" t="e">
        <f>IF('Dose-Response Worksheet 2'!#REF!&lt;&gt;"",($L10*'Dose-Response Worksheet 2'!#REF!)+'Dose-Response Worksheet 2'!#REF!,"")</f>
        <v>#REF!</v>
      </c>
      <c r="P10" s="40" t="e">
        <f>IF('Dose-Response Worksheet 2'!#REF!&lt;&gt;"",TINV(0.05,'Dose-Response Worksheet 2'!#REF!)*'Dose-Response Worksheet 2'!#REF!*SQRT(1/'Dose-Response Worksheet 2'!#REF!+N10/'Dose-Response Worksheet 2'!#REF!),"")</f>
        <v>#REF!</v>
      </c>
      <c r="Q10" s="146" t="e">
        <f>IF('Dose-Response Worksheet 2'!#REF!="","",$O10-$P10)</f>
        <v>#REF!</v>
      </c>
      <c r="R10" s="146" t="e">
        <f>IF('Dose-Response Worksheet 2'!#REF!="","",$O10+$P10)</f>
        <v>#REF!</v>
      </c>
      <c r="S10" s="147" t="e">
        <f>IF('Dose-Response Worksheet 2'!#REF!&lt;&gt;"",($M10-$O10)^2,"")</f>
        <v>#REF!</v>
      </c>
      <c r="T10" s="46" t="str">
        <f t="shared" si="1"/>
        <v/>
      </c>
      <c r="U10" s="39"/>
      <c r="V10" s="41" t="str">
        <f>IF(ISNUMBER('Dose-Response Worksheet 3'!#REF!),'Dose-Response Worksheet 3'!#REF!,"")</f>
        <v/>
      </c>
      <c r="W10" s="52" t="str">
        <f>IF(ISNUMBER('Dose-Response Worksheet 3'!#REF!),'Dose-Response Worksheet 3'!#REF!,"")</f>
        <v/>
      </c>
      <c r="X10" s="146" t="e">
        <f>IF('Dose-Response Worksheet 3'!#REF!&lt;&gt;"",($V10-'Dose-Response Worksheet 3'!#REF!)^2,"")</f>
        <v>#REF!</v>
      </c>
      <c r="Y10" s="146" t="e">
        <f>IF('Dose-Response Worksheet 3'!#REF!&lt;&gt;"",($V10*'Dose-Response Worksheet 3'!#REF!)+'Dose-Response Worksheet 3'!#REF!,"")</f>
        <v>#REF!</v>
      </c>
      <c r="Z10" s="40" t="e">
        <f>IF('Dose-Response Worksheet 3'!#REF!&lt;&gt;"",TINV(0.05,'Dose-Response Worksheet 3'!#REF!)*'Dose-Response Worksheet 3'!#REF!*SQRT(1/'Dose-Response Worksheet 3'!#REF!+X10/'Dose-Response Worksheet 3'!#REF!),"")</f>
        <v>#REF!</v>
      </c>
      <c r="AA10" s="146" t="e">
        <f>IF('Dose-Response Worksheet 3'!#REF!="","",$Y10-$Z10)</f>
        <v>#REF!</v>
      </c>
      <c r="AB10" s="146" t="e">
        <f>IF('Dose-Response Worksheet 3'!#REF!="","",$Y10+$Z10)</f>
        <v>#REF!</v>
      </c>
      <c r="AC10" s="147" t="e">
        <f>IF('Dose-Response Worksheet 3'!#REF!&lt;&gt;"",($W10-$Y10)^2,"")</f>
        <v>#REF!</v>
      </c>
      <c r="AD10" s="46" t="str">
        <f t="shared" si="2"/>
        <v/>
      </c>
      <c r="AE10" s="39"/>
      <c r="AF10" s="40"/>
      <c r="AG10" s="39"/>
      <c r="AH10" s="39"/>
      <c r="AI10" s="47"/>
      <c r="AJ10" s="46"/>
      <c r="AK10" s="51"/>
      <c r="AL10" s="51"/>
      <c r="AM10" s="51"/>
    </row>
    <row r="11" spans="1:39" x14ac:dyDescent="0.4">
      <c r="A11" s="58"/>
      <c r="B11" s="41" t="str">
        <f>IF(ISNUMBER(' Dose-Response Worksheet 1'!#REF!),' Dose-Response Worksheet 1'!#REF!, "")</f>
        <v/>
      </c>
      <c r="C11" s="52" t="str">
        <f>IF(ISNUMBER(' Dose-Response Worksheet 1'!#REF!),' Dose-Response Worksheet 1'!#REF!,"")</f>
        <v/>
      </c>
      <c r="D11" s="146" t="e">
        <f>IF(' Dose-Response Worksheet 1'!#REF!&lt;&gt;"",(B11-' Dose-Response Worksheet 1'!#REF!)^2,"")</f>
        <v>#REF!</v>
      </c>
      <c r="E11" s="39" t="e">
        <f>IF(' Dose-Response Worksheet 1'!#REF!&lt;&gt;"",(B$11*' Dose-Response Worksheet 1'!#REF!)+' Dose-Response Worksheet 1'!#REF!,"")</f>
        <v>#REF!</v>
      </c>
      <c r="F11" s="40" t="e">
        <f>IF(' Dose-Response Worksheet 1'!#REF!&lt;&gt;"",TINV(0.05,' Dose-Response Worksheet 1'!#REF!)*' Dose-Response Worksheet 1'!#REF!*SQRT(1/' Dose-Response Worksheet 1'!#REF!+D11/' Dose-Response Worksheet 1'!#REF!),"")</f>
        <v>#REF!</v>
      </c>
      <c r="G11" s="146" t="e">
        <f>IF(' Dose-Response Worksheet 1'!#REF!="","",E11-F11)</f>
        <v>#REF!</v>
      </c>
      <c r="H11" s="146" t="e">
        <f>IF(' Dose-Response Worksheet 1'!#REF!="","",E11+F11)</f>
        <v>#REF!</v>
      </c>
      <c r="I11" s="147" t="e">
        <f>IF(' Dose-Response Worksheet 1'!#REF!&lt;&gt;"",(C11-E11)^2,"")</f>
        <v>#REF!</v>
      </c>
      <c r="J11" s="46" t="str">
        <f t="shared" si="0"/>
        <v/>
      </c>
      <c r="K11" s="46"/>
      <c r="L11" s="41" t="str">
        <f>IF(ISNUMBER('Dose-Response Worksheet 2'!#REF!),'Dose-Response Worksheet 2'!#REF!, "")</f>
        <v/>
      </c>
      <c r="M11" s="52" t="str">
        <f>IF(ISNUMBER('Dose-Response Worksheet 2'!#REF!),'Dose-Response Worksheet 2'!#REF!,"")</f>
        <v/>
      </c>
      <c r="N11" s="146" t="e">
        <f>IF('Dose-Response Worksheet 2'!#REF!&lt;&gt;"",($L11-'Dose-Response Worksheet 2'!#REF!)^2,"")</f>
        <v>#REF!</v>
      </c>
      <c r="O11" s="146" t="e">
        <f>IF('Dose-Response Worksheet 2'!#REF!&lt;&gt;"",($L11*'Dose-Response Worksheet 2'!#REF!)+'Dose-Response Worksheet 2'!#REF!,"")</f>
        <v>#REF!</v>
      </c>
      <c r="P11" s="40" t="e">
        <f>IF('Dose-Response Worksheet 2'!#REF!&lt;&gt;"",TINV(0.05,'Dose-Response Worksheet 2'!#REF!)*'Dose-Response Worksheet 2'!#REF!*SQRT(1/'Dose-Response Worksheet 2'!#REF!+N11/'Dose-Response Worksheet 2'!#REF!),"")</f>
        <v>#REF!</v>
      </c>
      <c r="Q11" s="146" t="e">
        <f>IF('Dose-Response Worksheet 2'!#REF!="","",$O11-$P11)</f>
        <v>#REF!</v>
      </c>
      <c r="R11" s="146" t="e">
        <f>IF('Dose-Response Worksheet 2'!#REF!="","",$O11+$P11)</f>
        <v>#REF!</v>
      </c>
      <c r="S11" s="147" t="e">
        <f>IF('Dose-Response Worksheet 2'!#REF!&lt;&gt;"",($M11-$O11)^2,"")</f>
        <v>#REF!</v>
      </c>
      <c r="T11" s="46" t="str">
        <f t="shared" si="1"/>
        <v/>
      </c>
      <c r="U11" s="39"/>
      <c r="V11" s="41" t="str">
        <f>IF(ISNUMBER('Dose-Response Worksheet 3'!#REF!),'Dose-Response Worksheet 3'!#REF!,"")</f>
        <v/>
      </c>
      <c r="W11" s="52" t="str">
        <f>IF(ISNUMBER('Dose-Response Worksheet 3'!#REF!),'Dose-Response Worksheet 3'!#REF!,"")</f>
        <v/>
      </c>
      <c r="X11" s="146" t="e">
        <f>IF('Dose-Response Worksheet 3'!#REF!&lt;&gt;"",($V11-'Dose-Response Worksheet 3'!#REF!)^2,"")</f>
        <v>#REF!</v>
      </c>
      <c r="Y11" s="146" t="e">
        <f>IF('Dose-Response Worksheet 3'!#REF!&lt;&gt;"",($V11*'Dose-Response Worksheet 3'!#REF!)+'Dose-Response Worksheet 3'!#REF!,"")</f>
        <v>#REF!</v>
      </c>
      <c r="Z11" s="40" t="e">
        <f>IF('Dose-Response Worksheet 3'!#REF!&lt;&gt;"",TINV(0.05,'Dose-Response Worksheet 3'!#REF!)*'Dose-Response Worksheet 3'!#REF!*SQRT(1/'Dose-Response Worksheet 3'!#REF!+X11/'Dose-Response Worksheet 3'!#REF!),"")</f>
        <v>#REF!</v>
      </c>
      <c r="AA11" s="146" t="e">
        <f>IF('Dose-Response Worksheet 3'!#REF!="","",$Y11-$Z11)</f>
        <v>#REF!</v>
      </c>
      <c r="AB11" s="146" t="e">
        <f>IF('Dose-Response Worksheet 3'!#REF!="","",$Y11+$Z11)</f>
        <v>#REF!</v>
      </c>
      <c r="AC11" s="147" t="e">
        <f>IF('Dose-Response Worksheet 3'!#REF!&lt;&gt;"",($W11-$Y11)^2,"")</f>
        <v>#REF!</v>
      </c>
      <c r="AD11" s="46" t="str">
        <f t="shared" si="2"/>
        <v/>
      </c>
      <c r="AE11" s="39"/>
      <c r="AF11" s="40"/>
      <c r="AG11" s="39"/>
      <c r="AH11" s="39"/>
      <c r="AI11" s="47"/>
      <c r="AJ11" s="46"/>
      <c r="AK11" s="51"/>
      <c r="AL11" s="51"/>
      <c r="AM11" s="51"/>
    </row>
    <row r="12" spans="1:39" x14ac:dyDescent="0.4">
      <c r="A12" s="58"/>
      <c r="B12" s="41" t="str">
        <f>IF(ISNUMBER(' Dose-Response Worksheet 1'!#REF!),' Dose-Response Worksheet 1'!#REF!, "")</f>
        <v/>
      </c>
      <c r="C12" s="52" t="str">
        <f>IF(ISNUMBER(' Dose-Response Worksheet 1'!#REF!),' Dose-Response Worksheet 1'!#REF!,"")</f>
        <v/>
      </c>
      <c r="D12" s="146" t="e">
        <f>IF(' Dose-Response Worksheet 1'!#REF!&lt;&gt;"",(B12-' Dose-Response Worksheet 1'!#REF!)^2,"")</f>
        <v>#REF!</v>
      </c>
      <c r="E12" s="39" t="e">
        <f>IF(' Dose-Response Worksheet 1'!#REF!&lt;&gt;"",(B$12*' Dose-Response Worksheet 1'!#REF!)+' Dose-Response Worksheet 1'!#REF!,"")</f>
        <v>#REF!</v>
      </c>
      <c r="F12" s="40" t="e">
        <f>IF(' Dose-Response Worksheet 1'!#REF!&lt;&gt;"",TINV(0.05,' Dose-Response Worksheet 1'!#REF!)*' Dose-Response Worksheet 1'!#REF!*SQRT(1/' Dose-Response Worksheet 1'!#REF!+D12/' Dose-Response Worksheet 1'!#REF!),"")</f>
        <v>#REF!</v>
      </c>
      <c r="G12" s="146" t="e">
        <f>IF(' Dose-Response Worksheet 1'!#REF!="","",E12-F12)</f>
        <v>#REF!</v>
      </c>
      <c r="H12" s="146" t="e">
        <f>IF(' Dose-Response Worksheet 1'!#REF!="","",E12+F12)</f>
        <v>#REF!</v>
      </c>
      <c r="I12" s="147" t="e">
        <f>IF(' Dose-Response Worksheet 1'!#REF!&lt;&gt;"",(C12-E12)^2,"")</f>
        <v>#REF!</v>
      </c>
      <c r="J12" s="46" t="str">
        <f t="shared" si="0"/>
        <v/>
      </c>
      <c r="K12" s="46"/>
      <c r="L12" s="41" t="str">
        <f>IF(ISNUMBER('Dose-Response Worksheet 2'!#REF!),'Dose-Response Worksheet 2'!#REF!, "")</f>
        <v/>
      </c>
      <c r="M12" s="52" t="str">
        <f>IF(ISNUMBER('Dose-Response Worksheet 2'!#REF!),'Dose-Response Worksheet 2'!#REF!,"")</f>
        <v/>
      </c>
      <c r="N12" s="146" t="e">
        <f>IF('Dose-Response Worksheet 2'!#REF!&lt;&gt;"",($L12-'Dose-Response Worksheet 2'!#REF!)^2,"")</f>
        <v>#REF!</v>
      </c>
      <c r="O12" s="146" t="e">
        <f>IF('Dose-Response Worksheet 2'!#REF!&lt;&gt;"",($L12*'Dose-Response Worksheet 2'!#REF!)+'Dose-Response Worksheet 2'!#REF!,"")</f>
        <v>#REF!</v>
      </c>
      <c r="P12" s="40" t="e">
        <f>IF('Dose-Response Worksheet 2'!#REF!&lt;&gt;"",TINV(0.05,'Dose-Response Worksheet 2'!#REF!)*'Dose-Response Worksheet 2'!#REF!*SQRT(1/'Dose-Response Worksheet 2'!#REF!+N12/'Dose-Response Worksheet 2'!#REF!),"")</f>
        <v>#REF!</v>
      </c>
      <c r="Q12" s="146" t="e">
        <f>IF('Dose-Response Worksheet 2'!#REF!="","",$O12-$P12)</f>
        <v>#REF!</v>
      </c>
      <c r="R12" s="146" t="e">
        <f>IF('Dose-Response Worksheet 2'!#REF!="","",$O12+$P12)</f>
        <v>#REF!</v>
      </c>
      <c r="S12" s="147" t="e">
        <f>IF('Dose-Response Worksheet 2'!#REF!&lt;&gt;"",($M12-$O12)^2,"")</f>
        <v>#REF!</v>
      </c>
      <c r="T12" s="46" t="str">
        <f t="shared" si="1"/>
        <v/>
      </c>
      <c r="U12" s="39"/>
      <c r="V12" s="41" t="str">
        <f>IF(ISNUMBER('Dose-Response Worksheet 3'!#REF!),'Dose-Response Worksheet 3'!#REF!,"")</f>
        <v/>
      </c>
      <c r="W12" s="52" t="str">
        <f>IF(ISNUMBER('Dose-Response Worksheet 3'!#REF!),'Dose-Response Worksheet 3'!#REF!,"")</f>
        <v/>
      </c>
      <c r="X12" s="146" t="e">
        <f>IF('Dose-Response Worksheet 3'!#REF!&lt;&gt;"",($V12-'Dose-Response Worksheet 3'!#REF!)^2,"")</f>
        <v>#REF!</v>
      </c>
      <c r="Y12" s="146" t="e">
        <f>IF('Dose-Response Worksheet 3'!#REF!&lt;&gt;"",($V12*'Dose-Response Worksheet 3'!#REF!)+'Dose-Response Worksheet 3'!#REF!,"")</f>
        <v>#REF!</v>
      </c>
      <c r="Z12" s="40" t="e">
        <f>IF('Dose-Response Worksheet 3'!#REF!&lt;&gt;"",TINV(0.05,'Dose-Response Worksheet 3'!#REF!)*'Dose-Response Worksheet 3'!#REF!*SQRT(1/'Dose-Response Worksheet 3'!#REF!+X12/'Dose-Response Worksheet 3'!#REF!),"")</f>
        <v>#REF!</v>
      </c>
      <c r="AA12" s="146" t="e">
        <f>IF('Dose-Response Worksheet 3'!#REF!="","",$Y12-$Z12)</f>
        <v>#REF!</v>
      </c>
      <c r="AB12" s="146" t="e">
        <f>IF('Dose-Response Worksheet 3'!#REF!="","",$Y12+$Z12)</f>
        <v>#REF!</v>
      </c>
      <c r="AC12" s="147" t="e">
        <f>IF('Dose-Response Worksheet 3'!#REF!&lt;&gt;"",($W12-$Y12)^2,"")</f>
        <v>#REF!</v>
      </c>
      <c r="AD12" s="46" t="str">
        <f t="shared" si="2"/>
        <v/>
      </c>
      <c r="AE12" s="39"/>
      <c r="AF12" s="40"/>
      <c r="AG12" s="39"/>
      <c r="AH12" s="39"/>
      <c r="AI12" s="47"/>
      <c r="AJ12" s="46"/>
      <c r="AK12" s="51"/>
      <c r="AL12" s="51"/>
      <c r="AM12" s="51"/>
    </row>
    <row r="13" spans="1:39" x14ac:dyDescent="0.4">
      <c r="A13" s="58"/>
      <c r="B13" s="41" t="str">
        <f>IF(ISNUMBER(' Dose-Response Worksheet 1'!#REF!),' Dose-Response Worksheet 1'!#REF!, "")</f>
        <v/>
      </c>
      <c r="C13" s="52" t="str">
        <f>IF(ISNUMBER(' Dose-Response Worksheet 1'!#REF!),' Dose-Response Worksheet 1'!#REF!,"")</f>
        <v/>
      </c>
      <c r="D13" s="146" t="e">
        <f>IF(' Dose-Response Worksheet 1'!#REF!&lt;&gt;"",(B13-' Dose-Response Worksheet 1'!#REF!)^2,"")</f>
        <v>#REF!</v>
      </c>
      <c r="E13" s="39" t="e">
        <f>IF(' Dose-Response Worksheet 1'!#REF!&lt;&gt;"",(B$13*' Dose-Response Worksheet 1'!#REF!)+' Dose-Response Worksheet 1'!#REF!,"")</f>
        <v>#REF!</v>
      </c>
      <c r="F13" s="40" t="e">
        <f>IF(' Dose-Response Worksheet 1'!#REF!&lt;&gt;"",TINV(0.05,' Dose-Response Worksheet 1'!#REF!)*' Dose-Response Worksheet 1'!#REF!*SQRT(1/' Dose-Response Worksheet 1'!#REF!+D13/' Dose-Response Worksheet 1'!#REF!),"")</f>
        <v>#REF!</v>
      </c>
      <c r="G13" s="146" t="e">
        <f>IF(' Dose-Response Worksheet 1'!#REF!="","",E13-F13)</f>
        <v>#REF!</v>
      </c>
      <c r="H13" s="146" t="e">
        <f>IF(' Dose-Response Worksheet 1'!#REF!="","",E13+F13)</f>
        <v>#REF!</v>
      </c>
      <c r="I13" s="147" t="e">
        <f>IF(' Dose-Response Worksheet 1'!#REF!&lt;&gt;"",(C13-E13)^2,"")</f>
        <v>#REF!</v>
      </c>
      <c r="J13" s="46" t="str">
        <f t="shared" si="0"/>
        <v/>
      </c>
      <c r="K13" s="46"/>
      <c r="L13" s="41" t="str">
        <f>IF(ISNUMBER('Dose-Response Worksheet 2'!#REF!),'Dose-Response Worksheet 2'!#REF!, "")</f>
        <v/>
      </c>
      <c r="M13" s="52" t="str">
        <f>IF(ISNUMBER('Dose-Response Worksheet 2'!#REF!),'Dose-Response Worksheet 2'!#REF!,"")</f>
        <v/>
      </c>
      <c r="N13" s="146" t="e">
        <f>IF('Dose-Response Worksheet 2'!#REF!&lt;&gt;"",($L13-'Dose-Response Worksheet 2'!#REF!)^2,"")</f>
        <v>#REF!</v>
      </c>
      <c r="O13" s="146" t="e">
        <f>IF('Dose-Response Worksheet 2'!#REF!&lt;&gt;"",($L13*'Dose-Response Worksheet 2'!#REF!)+'Dose-Response Worksheet 2'!#REF!,"")</f>
        <v>#REF!</v>
      </c>
      <c r="P13" s="40" t="e">
        <f>IF('Dose-Response Worksheet 2'!#REF!&lt;&gt;"",TINV(0.05,'Dose-Response Worksheet 2'!#REF!)*'Dose-Response Worksheet 2'!#REF!*SQRT(1/'Dose-Response Worksheet 2'!#REF!+N13/'Dose-Response Worksheet 2'!#REF!),"")</f>
        <v>#REF!</v>
      </c>
      <c r="Q13" s="146" t="e">
        <f>IF('Dose-Response Worksheet 2'!#REF!="","",$O13-$P13)</f>
        <v>#REF!</v>
      </c>
      <c r="R13" s="146" t="e">
        <f>IF('Dose-Response Worksheet 2'!#REF!="","",$O13+$P13)</f>
        <v>#REF!</v>
      </c>
      <c r="S13" s="147" t="e">
        <f>IF('Dose-Response Worksheet 2'!#REF!&lt;&gt;"",($M13-$O13)^2,"")</f>
        <v>#REF!</v>
      </c>
      <c r="T13" s="46" t="str">
        <f t="shared" si="1"/>
        <v/>
      </c>
      <c r="U13" s="39"/>
      <c r="V13" s="41" t="str">
        <f>IF(ISNUMBER('Dose-Response Worksheet 3'!#REF!),'Dose-Response Worksheet 3'!#REF!,"")</f>
        <v/>
      </c>
      <c r="W13" s="52" t="str">
        <f>IF(ISNUMBER('Dose-Response Worksheet 3'!#REF!),'Dose-Response Worksheet 3'!#REF!,"")</f>
        <v/>
      </c>
      <c r="X13" s="146" t="e">
        <f>IF('Dose-Response Worksheet 3'!#REF!&lt;&gt;"",($V13-'Dose-Response Worksheet 3'!#REF!)^2,"")</f>
        <v>#REF!</v>
      </c>
      <c r="Y13" s="146" t="e">
        <f>IF('Dose-Response Worksheet 3'!#REF!&lt;&gt;"",($V13*'Dose-Response Worksheet 3'!#REF!)+'Dose-Response Worksheet 3'!#REF!,"")</f>
        <v>#REF!</v>
      </c>
      <c r="Z13" s="40" t="e">
        <f>IF('Dose-Response Worksheet 3'!#REF!&lt;&gt;"",TINV(0.05,'Dose-Response Worksheet 3'!#REF!)*'Dose-Response Worksheet 3'!#REF!*SQRT(1/'Dose-Response Worksheet 3'!#REF!+X13/'Dose-Response Worksheet 3'!#REF!),"")</f>
        <v>#REF!</v>
      </c>
      <c r="AA13" s="146" t="e">
        <f>IF('Dose-Response Worksheet 3'!#REF!="","",$Y13-$Z13)</f>
        <v>#REF!</v>
      </c>
      <c r="AB13" s="146" t="e">
        <f>IF('Dose-Response Worksheet 3'!#REF!="","",$Y13+$Z13)</f>
        <v>#REF!</v>
      </c>
      <c r="AC13" s="147" t="e">
        <f>IF('Dose-Response Worksheet 3'!#REF!&lt;&gt;"",($W13-$Y13)^2,"")</f>
        <v>#REF!</v>
      </c>
      <c r="AD13" s="46" t="str">
        <f t="shared" si="2"/>
        <v/>
      </c>
      <c r="AE13" s="39"/>
      <c r="AF13" s="40"/>
      <c r="AG13" s="39"/>
      <c r="AH13" s="39"/>
      <c r="AI13" s="47"/>
      <c r="AJ13" s="46"/>
      <c r="AK13" s="51"/>
      <c r="AL13" s="51"/>
      <c r="AM13" s="51"/>
    </row>
    <row r="14" spans="1:39" x14ac:dyDescent="0.4">
      <c r="A14" s="58"/>
      <c r="B14" s="41" t="str">
        <f>IF(ISNUMBER(' Dose-Response Worksheet 1'!#REF!),' Dose-Response Worksheet 1'!#REF!, "")</f>
        <v/>
      </c>
      <c r="C14" s="52" t="str">
        <f>IF(ISNUMBER(' Dose-Response Worksheet 1'!#REF!),' Dose-Response Worksheet 1'!#REF!,"")</f>
        <v/>
      </c>
      <c r="D14" s="146" t="e">
        <f>IF(' Dose-Response Worksheet 1'!#REF!&lt;&gt;"",(B14-' Dose-Response Worksheet 1'!#REF!)^2,"")</f>
        <v>#REF!</v>
      </c>
      <c r="E14" s="39" t="e">
        <f>IF(' Dose-Response Worksheet 1'!#REF!&lt;&gt;"",(B$14*' Dose-Response Worksheet 1'!#REF!)+' Dose-Response Worksheet 1'!#REF!,"")</f>
        <v>#REF!</v>
      </c>
      <c r="F14" s="40" t="e">
        <f>IF(' Dose-Response Worksheet 1'!#REF!&lt;&gt;"",TINV(0.05,' Dose-Response Worksheet 1'!#REF!)*' Dose-Response Worksheet 1'!#REF!*SQRT(1/' Dose-Response Worksheet 1'!#REF!+D14/' Dose-Response Worksheet 1'!#REF!),"")</f>
        <v>#REF!</v>
      </c>
      <c r="G14" s="146" t="e">
        <f>IF(' Dose-Response Worksheet 1'!#REF!="","",E14-F14)</f>
        <v>#REF!</v>
      </c>
      <c r="H14" s="146" t="e">
        <f>IF(' Dose-Response Worksheet 1'!#REF!="","",E14+F14)</f>
        <v>#REF!</v>
      </c>
      <c r="I14" s="147" t="e">
        <f>IF(' Dose-Response Worksheet 1'!#REF!&lt;&gt;"",(C14-E14)^2,"")</f>
        <v>#REF!</v>
      </c>
      <c r="J14" s="46" t="str">
        <f t="shared" si="0"/>
        <v/>
      </c>
      <c r="K14" s="46"/>
      <c r="L14" s="41" t="str">
        <f>IF(ISNUMBER('Dose-Response Worksheet 2'!#REF!),'Dose-Response Worksheet 2'!#REF!, "")</f>
        <v/>
      </c>
      <c r="M14" s="52" t="str">
        <f>IF(ISNUMBER('Dose-Response Worksheet 2'!#REF!),'Dose-Response Worksheet 2'!#REF!,"")</f>
        <v/>
      </c>
      <c r="N14" s="146" t="e">
        <f>IF('Dose-Response Worksheet 2'!#REF!&lt;&gt;"",($L14-'Dose-Response Worksheet 2'!#REF!)^2,"")</f>
        <v>#REF!</v>
      </c>
      <c r="O14" s="146" t="e">
        <f>IF('Dose-Response Worksheet 2'!#REF!&lt;&gt;"",($L14*'Dose-Response Worksheet 2'!#REF!)+'Dose-Response Worksheet 2'!#REF!,"")</f>
        <v>#REF!</v>
      </c>
      <c r="P14" s="40" t="e">
        <f>IF('Dose-Response Worksheet 2'!#REF!&lt;&gt;"",TINV(0.05,'Dose-Response Worksheet 2'!#REF!)*'Dose-Response Worksheet 2'!#REF!*SQRT(1/'Dose-Response Worksheet 2'!#REF!+N14/'Dose-Response Worksheet 2'!#REF!),"")</f>
        <v>#REF!</v>
      </c>
      <c r="Q14" s="146" t="e">
        <f>IF('Dose-Response Worksheet 2'!#REF!="","",$O14-$P14)</f>
        <v>#REF!</v>
      </c>
      <c r="R14" s="146" t="e">
        <f>IF('Dose-Response Worksheet 2'!#REF!="","",$O14+$P14)</f>
        <v>#REF!</v>
      </c>
      <c r="S14" s="147" t="e">
        <f>IF('Dose-Response Worksheet 2'!#REF!&lt;&gt;"",($M14-$O14)^2,"")</f>
        <v>#REF!</v>
      </c>
      <c r="T14" s="46" t="str">
        <f t="shared" si="1"/>
        <v/>
      </c>
      <c r="U14" s="39"/>
      <c r="V14" s="41" t="str">
        <f>IF(ISNUMBER('Dose-Response Worksheet 3'!#REF!),'Dose-Response Worksheet 3'!#REF!,"")</f>
        <v/>
      </c>
      <c r="W14" s="52" t="str">
        <f>IF(ISNUMBER('Dose-Response Worksheet 3'!#REF!),'Dose-Response Worksheet 3'!#REF!,"")</f>
        <v/>
      </c>
      <c r="X14" s="146" t="e">
        <f>IF('Dose-Response Worksheet 3'!#REF!&lt;&gt;"",($V14-'Dose-Response Worksheet 3'!#REF!)^2,"")</f>
        <v>#REF!</v>
      </c>
      <c r="Y14" s="146" t="e">
        <f>IF('Dose-Response Worksheet 3'!#REF!&lt;&gt;"",($V14*'Dose-Response Worksheet 3'!#REF!)+'Dose-Response Worksheet 3'!#REF!,"")</f>
        <v>#REF!</v>
      </c>
      <c r="Z14" s="40" t="e">
        <f>IF('Dose-Response Worksheet 3'!#REF!&lt;&gt;"",TINV(0.05,'Dose-Response Worksheet 3'!#REF!)*'Dose-Response Worksheet 3'!#REF!*SQRT(1/'Dose-Response Worksheet 3'!#REF!+X14/'Dose-Response Worksheet 3'!#REF!),"")</f>
        <v>#REF!</v>
      </c>
      <c r="AA14" s="146" t="e">
        <f>IF('Dose-Response Worksheet 3'!#REF!="","",$Y14-$Z14)</f>
        <v>#REF!</v>
      </c>
      <c r="AB14" s="146" t="e">
        <f>IF('Dose-Response Worksheet 3'!#REF!="","",$Y14+$Z14)</f>
        <v>#REF!</v>
      </c>
      <c r="AC14" s="147" t="e">
        <f>IF('Dose-Response Worksheet 3'!#REF!&lt;&gt;"",($W14-$Y14)^2,"")</f>
        <v>#REF!</v>
      </c>
      <c r="AD14" s="46" t="str">
        <f t="shared" si="2"/>
        <v/>
      </c>
      <c r="AE14" s="39"/>
      <c r="AF14" s="40"/>
      <c r="AG14" s="39"/>
      <c r="AH14" s="39"/>
      <c r="AI14" s="47"/>
      <c r="AJ14" s="46"/>
      <c r="AK14" s="51"/>
      <c r="AL14" s="51"/>
      <c r="AM14" s="51"/>
    </row>
    <row r="15" spans="1:39" x14ac:dyDescent="0.4">
      <c r="A15" s="58"/>
      <c r="B15" s="41" t="str">
        <f>IF(ISNUMBER(' Dose-Response Worksheet 1'!#REF!),' Dose-Response Worksheet 1'!#REF!, "")</f>
        <v/>
      </c>
      <c r="C15" s="52" t="str">
        <f>IF(ISNUMBER(' Dose-Response Worksheet 1'!#REF!),' Dose-Response Worksheet 1'!#REF!,"")</f>
        <v/>
      </c>
      <c r="D15" s="146" t="e">
        <f>IF(' Dose-Response Worksheet 1'!#REF!&lt;&gt;"",(B15-' Dose-Response Worksheet 1'!#REF!)^2,"")</f>
        <v>#REF!</v>
      </c>
      <c r="E15" s="39" t="e">
        <f>IF(' Dose-Response Worksheet 1'!#REF!&lt;&gt;"",(B$15*' Dose-Response Worksheet 1'!#REF!)+' Dose-Response Worksheet 1'!#REF!,"")</f>
        <v>#REF!</v>
      </c>
      <c r="F15" s="40" t="e">
        <f>IF(' Dose-Response Worksheet 1'!#REF!&lt;&gt;"",TINV(0.05,' Dose-Response Worksheet 1'!#REF!)*' Dose-Response Worksheet 1'!#REF!*SQRT(1/' Dose-Response Worksheet 1'!#REF!+D15/' Dose-Response Worksheet 1'!#REF!),"")</f>
        <v>#REF!</v>
      </c>
      <c r="G15" s="146" t="e">
        <f>IF(' Dose-Response Worksheet 1'!#REF!="","",E15-F15)</f>
        <v>#REF!</v>
      </c>
      <c r="H15" s="146" t="e">
        <f>IF(' Dose-Response Worksheet 1'!#REF!="","",E15+F15)</f>
        <v>#REF!</v>
      </c>
      <c r="I15" s="147" t="e">
        <f>IF(' Dose-Response Worksheet 1'!#REF!&lt;&gt;"",(C15-E15)^2,"")</f>
        <v>#REF!</v>
      </c>
      <c r="J15" s="46" t="str">
        <f t="shared" si="0"/>
        <v/>
      </c>
      <c r="K15" s="46"/>
      <c r="L15" s="41" t="str">
        <f>IF(ISNUMBER('Dose-Response Worksheet 2'!#REF!),'Dose-Response Worksheet 2'!#REF!, "")</f>
        <v/>
      </c>
      <c r="M15" s="52" t="str">
        <f>IF(ISNUMBER('Dose-Response Worksheet 2'!#REF!),'Dose-Response Worksheet 2'!#REF!,"")</f>
        <v/>
      </c>
      <c r="N15" s="146" t="e">
        <f>IF('Dose-Response Worksheet 2'!#REF!&lt;&gt;"",($L15-'Dose-Response Worksheet 2'!#REF!)^2,"")</f>
        <v>#REF!</v>
      </c>
      <c r="O15" s="146" t="e">
        <f>IF('Dose-Response Worksheet 2'!#REF!&lt;&gt;"",($L15*'Dose-Response Worksheet 2'!#REF!)+'Dose-Response Worksheet 2'!#REF!,"")</f>
        <v>#REF!</v>
      </c>
      <c r="P15" s="40" t="e">
        <f>IF('Dose-Response Worksheet 2'!#REF!&lt;&gt;"",TINV(0.05,'Dose-Response Worksheet 2'!#REF!)*'Dose-Response Worksheet 2'!#REF!*SQRT(1/'Dose-Response Worksheet 2'!#REF!+N15/'Dose-Response Worksheet 2'!#REF!),"")</f>
        <v>#REF!</v>
      </c>
      <c r="Q15" s="146" t="e">
        <f>IF('Dose-Response Worksheet 2'!#REF!="","",$O15-$P15)</f>
        <v>#REF!</v>
      </c>
      <c r="R15" s="146" t="e">
        <f>IF('Dose-Response Worksheet 2'!#REF!="","",$O15+$P15)</f>
        <v>#REF!</v>
      </c>
      <c r="S15" s="147" t="e">
        <f>IF('Dose-Response Worksheet 2'!#REF!&lt;&gt;"",($M15-$O15)^2,"")</f>
        <v>#REF!</v>
      </c>
      <c r="T15" s="46" t="str">
        <f t="shared" si="1"/>
        <v/>
      </c>
      <c r="U15" s="39"/>
      <c r="V15" s="41" t="str">
        <f>IF(ISNUMBER('Dose-Response Worksheet 3'!#REF!),'Dose-Response Worksheet 3'!#REF!,"")</f>
        <v/>
      </c>
      <c r="W15" s="52" t="str">
        <f>IF(ISNUMBER('Dose-Response Worksheet 3'!#REF!),'Dose-Response Worksheet 3'!#REF!,"")</f>
        <v/>
      </c>
      <c r="X15" s="146" t="e">
        <f>IF('Dose-Response Worksheet 3'!#REF!&lt;&gt;"",($V15-'Dose-Response Worksheet 3'!#REF!)^2,"")</f>
        <v>#REF!</v>
      </c>
      <c r="Y15" s="146" t="e">
        <f>IF('Dose-Response Worksheet 3'!#REF!&lt;&gt;"",($V15*'Dose-Response Worksheet 3'!#REF!)+'Dose-Response Worksheet 3'!#REF!,"")</f>
        <v>#REF!</v>
      </c>
      <c r="Z15" s="40" t="e">
        <f>IF('Dose-Response Worksheet 3'!#REF!&lt;&gt;"",TINV(0.05,'Dose-Response Worksheet 3'!#REF!)*'Dose-Response Worksheet 3'!#REF!*SQRT(1/'Dose-Response Worksheet 3'!#REF!+X15/'Dose-Response Worksheet 3'!#REF!),"")</f>
        <v>#REF!</v>
      </c>
      <c r="AA15" s="146" t="e">
        <f>IF('Dose-Response Worksheet 3'!#REF!="","",$Y15-$Z15)</f>
        <v>#REF!</v>
      </c>
      <c r="AB15" s="146" t="e">
        <f>IF('Dose-Response Worksheet 3'!#REF!="","",$Y15+$Z15)</f>
        <v>#REF!</v>
      </c>
      <c r="AC15" s="147" t="e">
        <f>IF('Dose-Response Worksheet 3'!#REF!&lt;&gt;"",($W15-$Y15)^2,"")</f>
        <v>#REF!</v>
      </c>
      <c r="AD15" s="46" t="str">
        <f t="shared" si="2"/>
        <v/>
      </c>
      <c r="AE15" s="39"/>
      <c r="AF15" s="40"/>
      <c r="AG15" s="39"/>
      <c r="AH15" s="39"/>
      <c r="AI15" s="47"/>
      <c r="AJ15" s="46"/>
      <c r="AK15" s="51"/>
      <c r="AL15" s="51"/>
      <c r="AM15" s="51"/>
    </row>
    <row r="16" spans="1:39" x14ac:dyDescent="0.4">
      <c r="A16" s="58"/>
      <c r="B16" s="41" t="str">
        <f>IF(ISNUMBER(' Dose-Response Worksheet 1'!#REF!),' Dose-Response Worksheet 1'!#REF!, "")</f>
        <v/>
      </c>
      <c r="C16" s="52" t="str">
        <f>IF(ISNUMBER(' Dose-Response Worksheet 1'!#REF!),' Dose-Response Worksheet 1'!#REF!,"")</f>
        <v/>
      </c>
      <c r="D16" s="146" t="e">
        <f>IF(' Dose-Response Worksheet 1'!#REF!&lt;&gt;"",(B16-' Dose-Response Worksheet 1'!#REF!)^2,"")</f>
        <v>#REF!</v>
      </c>
      <c r="E16" s="39" t="e">
        <f>IF(' Dose-Response Worksheet 1'!#REF!&lt;&gt;"",(B$16*' Dose-Response Worksheet 1'!#REF!)+' Dose-Response Worksheet 1'!#REF!,"")</f>
        <v>#REF!</v>
      </c>
      <c r="F16" s="40" t="e">
        <f>IF(' Dose-Response Worksheet 1'!#REF!&lt;&gt;"",TINV(0.05,' Dose-Response Worksheet 1'!#REF!)*' Dose-Response Worksheet 1'!#REF!*SQRT(1/' Dose-Response Worksheet 1'!#REF!+D16/' Dose-Response Worksheet 1'!#REF!),"")</f>
        <v>#REF!</v>
      </c>
      <c r="G16" s="146" t="e">
        <f>IF(' Dose-Response Worksheet 1'!#REF!="","",E16-F16)</f>
        <v>#REF!</v>
      </c>
      <c r="H16" s="146" t="e">
        <f>IF(' Dose-Response Worksheet 1'!#REF!="","",E16+F16)</f>
        <v>#REF!</v>
      </c>
      <c r="I16" s="147" t="e">
        <f>IF(' Dose-Response Worksheet 1'!#REF!&lt;&gt;"",(C16-E16)^2,"")</f>
        <v>#REF!</v>
      </c>
      <c r="J16" s="46" t="str">
        <f t="shared" si="0"/>
        <v/>
      </c>
      <c r="K16" s="46"/>
      <c r="L16" s="41" t="str">
        <f>IF(ISNUMBER('Dose-Response Worksheet 2'!#REF!),'Dose-Response Worksheet 2'!#REF!, "")</f>
        <v/>
      </c>
      <c r="M16" s="52" t="str">
        <f>IF(ISNUMBER('Dose-Response Worksheet 2'!#REF!),'Dose-Response Worksheet 2'!#REF!,"")</f>
        <v/>
      </c>
      <c r="N16" s="146" t="e">
        <f>IF('Dose-Response Worksheet 2'!#REF!&lt;&gt;"",($L16-'Dose-Response Worksheet 2'!#REF!)^2,"")</f>
        <v>#REF!</v>
      </c>
      <c r="O16" s="146" t="e">
        <f>IF('Dose-Response Worksheet 2'!#REF!&lt;&gt;"",($L16*'Dose-Response Worksheet 2'!#REF!)+'Dose-Response Worksheet 2'!#REF!,"")</f>
        <v>#REF!</v>
      </c>
      <c r="P16" s="40" t="e">
        <f>IF('Dose-Response Worksheet 2'!#REF!&lt;&gt;"",TINV(0.05,'Dose-Response Worksheet 2'!#REF!)*'Dose-Response Worksheet 2'!#REF!*SQRT(1/'Dose-Response Worksheet 2'!#REF!+N16/'Dose-Response Worksheet 2'!#REF!),"")</f>
        <v>#REF!</v>
      </c>
      <c r="Q16" s="146" t="e">
        <f>IF('Dose-Response Worksheet 2'!#REF!="","",$O16-$P16)</f>
        <v>#REF!</v>
      </c>
      <c r="R16" s="146" t="e">
        <f>IF('Dose-Response Worksheet 2'!#REF!="","",$O16+$P16)</f>
        <v>#REF!</v>
      </c>
      <c r="S16" s="147" t="e">
        <f>IF('Dose-Response Worksheet 2'!#REF!&lt;&gt;"",($M16-$O16)^2,"")</f>
        <v>#REF!</v>
      </c>
      <c r="T16" s="46" t="str">
        <f t="shared" si="1"/>
        <v/>
      </c>
      <c r="U16" s="39"/>
      <c r="V16" s="41" t="str">
        <f>IF(ISNUMBER('Dose-Response Worksheet 3'!#REF!),'Dose-Response Worksheet 3'!#REF!,"")</f>
        <v/>
      </c>
      <c r="W16" s="52" t="str">
        <f>IF(ISNUMBER('Dose-Response Worksheet 3'!#REF!),'Dose-Response Worksheet 3'!#REF!,"")</f>
        <v/>
      </c>
      <c r="X16" s="146" t="e">
        <f>IF('Dose-Response Worksheet 3'!#REF!&lt;&gt;"",($V16-'Dose-Response Worksheet 3'!#REF!)^2,"")</f>
        <v>#REF!</v>
      </c>
      <c r="Y16" s="146" t="e">
        <f>IF('Dose-Response Worksheet 3'!#REF!&lt;&gt;"",($V16*'Dose-Response Worksheet 3'!#REF!)+'Dose-Response Worksheet 3'!#REF!,"")</f>
        <v>#REF!</v>
      </c>
      <c r="Z16" s="40" t="e">
        <f>IF('Dose-Response Worksheet 3'!#REF!&lt;&gt;"",TINV(0.05,'Dose-Response Worksheet 3'!#REF!)*'Dose-Response Worksheet 3'!#REF!*SQRT(1/'Dose-Response Worksheet 3'!#REF!+X16/'Dose-Response Worksheet 3'!#REF!),"")</f>
        <v>#REF!</v>
      </c>
      <c r="AA16" s="146" t="e">
        <f>IF('Dose-Response Worksheet 3'!#REF!="","",$Y16-$Z16)</f>
        <v>#REF!</v>
      </c>
      <c r="AB16" s="146" t="e">
        <f>IF('Dose-Response Worksheet 3'!#REF!="","",$Y16+$Z16)</f>
        <v>#REF!</v>
      </c>
      <c r="AC16" s="147" t="e">
        <f>IF('Dose-Response Worksheet 3'!#REF!&lt;&gt;"",($W16-$Y16)^2,"")</f>
        <v>#REF!</v>
      </c>
      <c r="AD16" s="46" t="str">
        <f t="shared" si="2"/>
        <v/>
      </c>
      <c r="AE16" s="39"/>
      <c r="AF16" s="40"/>
      <c r="AG16" s="39"/>
      <c r="AH16" s="39"/>
      <c r="AI16" s="47"/>
      <c r="AJ16" s="46"/>
      <c r="AK16" s="51"/>
      <c r="AL16" s="51"/>
      <c r="AM16" s="51"/>
    </row>
    <row r="17" spans="1:39" x14ac:dyDescent="0.4">
      <c r="A17" s="58"/>
      <c r="B17" s="41" t="str">
        <f>IF(ISNUMBER(' Dose-Response Worksheet 1'!#REF!),' Dose-Response Worksheet 1'!#REF!, "")</f>
        <v/>
      </c>
      <c r="C17" s="52" t="str">
        <f>IF(ISNUMBER(' Dose-Response Worksheet 1'!#REF!),' Dose-Response Worksheet 1'!#REF!,"")</f>
        <v/>
      </c>
      <c r="D17" s="146" t="e">
        <f>IF(' Dose-Response Worksheet 1'!#REF!&lt;&gt;"",(B17-' Dose-Response Worksheet 1'!#REF!)^2,"")</f>
        <v>#REF!</v>
      </c>
      <c r="E17" s="39" t="e">
        <f>IF(' Dose-Response Worksheet 1'!#REF!&lt;&gt;"",(B$17*' Dose-Response Worksheet 1'!#REF!)+' Dose-Response Worksheet 1'!#REF!,"")</f>
        <v>#REF!</v>
      </c>
      <c r="F17" s="40" t="e">
        <f>IF(' Dose-Response Worksheet 1'!#REF!&lt;&gt;"",TINV(0.05,' Dose-Response Worksheet 1'!#REF!)*' Dose-Response Worksheet 1'!#REF!*SQRT(1/' Dose-Response Worksheet 1'!#REF!+D17/' Dose-Response Worksheet 1'!#REF!),"")</f>
        <v>#REF!</v>
      </c>
      <c r="G17" s="146" t="e">
        <f>IF(' Dose-Response Worksheet 1'!#REF!="","",E17-F17)</f>
        <v>#REF!</v>
      </c>
      <c r="H17" s="146" t="e">
        <f>IF(' Dose-Response Worksheet 1'!#REF!="","",E17+F17)</f>
        <v>#REF!</v>
      </c>
      <c r="I17" s="147" t="e">
        <f>IF(' Dose-Response Worksheet 1'!#REF!&lt;&gt;"",(C17-E17)^2,"")</f>
        <v>#REF!</v>
      </c>
      <c r="J17" s="46" t="str">
        <f t="shared" si="0"/>
        <v/>
      </c>
      <c r="K17" s="46"/>
      <c r="L17" s="41" t="str">
        <f>IF(ISNUMBER('Dose-Response Worksheet 2'!#REF!),'Dose-Response Worksheet 2'!#REF!, "")</f>
        <v/>
      </c>
      <c r="M17" s="52" t="str">
        <f>IF(ISNUMBER('Dose-Response Worksheet 2'!#REF!),'Dose-Response Worksheet 2'!#REF!,"")</f>
        <v/>
      </c>
      <c r="N17" s="146" t="e">
        <f>IF('Dose-Response Worksheet 2'!#REF!&lt;&gt;"",($L17-'Dose-Response Worksheet 2'!#REF!)^2,"")</f>
        <v>#REF!</v>
      </c>
      <c r="O17" s="146" t="e">
        <f>IF('Dose-Response Worksheet 2'!#REF!&lt;&gt;"",($L17*'Dose-Response Worksheet 2'!#REF!)+'Dose-Response Worksheet 2'!#REF!,"")</f>
        <v>#REF!</v>
      </c>
      <c r="P17" s="40" t="e">
        <f>IF('Dose-Response Worksheet 2'!#REF!&lt;&gt;"",TINV(0.05,'Dose-Response Worksheet 2'!#REF!)*'Dose-Response Worksheet 2'!#REF!*SQRT(1/'Dose-Response Worksheet 2'!#REF!+N17/'Dose-Response Worksheet 2'!#REF!),"")</f>
        <v>#REF!</v>
      </c>
      <c r="Q17" s="146" t="e">
        <f>IF('Dose-Response Worksheet 2'!#REF!="","",$O17-$P17)</f>
        <v>#REF!</v>
      </c>
      <c r="R17" s="146" t="e">
        <f>IF('Dose-Response Worksheet 2'!#REF!="","",$O17+$P17)</f>
        <v>#REF!</v>
      </c>
      <c r="S17" s="147" t="e">
        <f>IF('Dose-Response Worksheet 2'!#REF!&lt;&gt;"",($M17-$O17)^2,"")</f>
        <v>#REF!</v>
      </c>
      <c r="T17" s="46" t="str">
        <f t="shared" si="1"/>
        <v/>
      </c>
      <c r="U17" s="39"/>
      <c r="V17" s="41" t="str">
        <f>IF(ISNUMBER('Dose-Response Worksheet 3'!#REF!),'Dose-Response Worksheet 3'!#REF!,"")</f>
        <v/>
      </c>
      <c r="W17" s="52" t="str">
        <f>IF(ISNUMBER('Dose-Response Worksheet 3'!#REF!),'Dose-Response Worksheet 3'!#REF!,"")</f>
        <v/>
      </c>
      <c r="X17" s="146" t="e">
        <f>IF('Dose-Response Worksheet 3'!#REF!&lt;&gt;"",($V17-'Dose-Response Worksheet 3'!#REF!)^2,"")</f>
        <v>#REF!</v>
      </c>
      <c r="Y17" s="146" t="e">
        <f>IF('Dose-Response Worksheet 3'!#REF!&lt;&gt;"",($V17*'Dose-Response Worksheet 3'!#REF!)+'Dose-Response Worksheet 3'!#REF!,"")</f>
        <v>#REF!</v>
      </c>
      <c r="Z17" s="40" t="e">
        <f>IF('Dose-Response Worksheet 3'!#REF!&lt;&gt;"",TINV(0.05,'Dose-Response Worksheet 3'!#REF!)*'Dose-Response Worksheet 3'!#REF!*SQRT(1/'Dose-Response Worksheet 3'!#REF!+X17/'Dose-Response Worksheet 3'!#REF!),"")</f>
        <v>#REF!</v>
      </c>
      <c r="AA17" s="146" t="e">
        <f>IF('Dose-Response Worksheet 3'!#REF!="","",$Y17-$Z17)</f>
        <v>#REF!</v>
      </c>
      <c r="AB17" s="146" t="e">
        <f>IF('Dose-Response Worksheet 3'!#REF!="","",$Y17+$Z17)</f>
        <v>#REF!</v>
      </c>
      <c r="AC17" s="147" t="e">
        <f>IF('Dose-Response Worksheet 3'!#REF!&lt;&gt;"",($W17-$Y17)^2,"")</f>
        <v>#REF!</v>
      </c>
      <c r="AD17" s="46" t="str">
        <f t="shared" si="2"/>
        <v/>
      </c>
      <c r="AE17" s="39"/>
      <c r="AF17" s="40"/>
      <c r="AG17" s="39"/>
      <c r="AH17" s="39"/>
      <c r="AI17" s="47"/>
      <c r="AJ17" s="46"/>
      <c r="AK17" s="51"/>
      <c r="AL17" s="51"/>
      <c r="AM17" s="51"/>
    </row>
    <row r="18" spans="1:39" x14ac:dyDescent="0.4">
      <c r="A18" s="58"/>
      <c r="B18" s="41" t="str">
        <f>IF(ISNUMBER(' Dose-Response Worksheet 1'!#REF!),' Dose-Response Worksheet 1'!#REF!, "")</f>
        <v/>
      </c>
      <c r="C18" s="52" t="str">
        <f>IF(ISNUMBER(' Dose-Response Worksheet 1'!#REF!),' Dose-Response Worksheet 1'!#REF!,"")</f>
        <v/>
      </c>
      <c r="D18" s="146" t="e">
        <f>IF(' Dose-Response Worksheet 1'!#REF!&lt;&gt;"",(B18-' Dose-Response Worksheet 1'!#REF!)^2,"")</f>
        <v>#REF!</v>
      </c>
      <c r="E18" s="39" t="e">
        <f>IF(' Dose-Response Worksheet 1'!#REF!&lt;&gt;"",(B$18*' Dose-Response Worksheet 1'!#REF!)+' Dose-Response Worksheet 1'!#REF!,"")</f>
        <v>#REF!</v>
      </c>
      <c r="F18" s="40" t="e">
        <f>IF(' Dose-Response Worksheet 1'!#REF!&lt;&gt;"",TINV(0.05,' Dose-Response Worksheet 1'!#REF!)*' Dose-Response Worksheet 1'!#REF!*SQRT(1/' Dose-Response Worksheet 1'!#REF!+D18/' Dose-Response Worksheet 1'!#REF!),"")</f>
        <v>#REF!</v>
      </c>
      <c r="G18" s="146" t="e">
        <f>IF(' Dose-Response Worksheet 1'!#REF!="","",E18-F18)</f>
        <v>#REF!</v>
      </c>
      <c r="H18" s="146" t="e">
        <f>IF(' Dose-Response Worksheet 1'!#REF!="","",E18+F18)</f>
        <v>#REF!</v>
      </c>
      <c r="I18" s="147" t="e">
        <f>IF(' Dose-Response Worksheet 1'!#REF!&lt;&gt;"",(C18-E18)^2,"")</f>
        <v>#REF!</v>
      </c>
      <c r="J18" s="46" t="str">
        <f t="shared" si="0"/>
        <v/>
      </c>
      <c r="K18" s="46"/>
      <c r="L18" s="41" t="str">
        <f>IF(ISNUMBER('Dose-Response Worksheet 2'!#REF!),'Dose-Response Worksheet 2'!#REF!, "")</f>
        <v/>
      </c>
      <c r="M18" s="52" t="str">
        <f>IF(ISNUMBER('Dose-Response Worksheet 2'!#REF!),'Dose-Response Worksheet 2'!#REF!,"")</f>
        <v/>
      </c>
      <c r="N18" s="146" t="e">
        <f>IF('Dose-Response Worksheet 2'!#REF!&lt;&gt;"",($L18-'Dose-Response Worksheet 2'!#REF!)^2,"")</f>
        <v>#REF!</v>
      </c>
      <c r="O18" s="146" t="e">
        <f>IF('Dose-Response Worksheet 2'!#REF!&lt;&gt;"",($L18*'Dose-Response Worksheet 2'!#REF!)+'Dose-Response Worksheet 2'!#REF!,"")</f>
        <v>#REF!</v>
      </c>
      <c r="P18" s="40" t="e">
        <f>IF('Dose-Response Worksheet 2'!#REF!&lt;&gt;"",TINV(0.05,'Dose-Response Worksheet 2'!#REF!)*'Dose-Response Worksheet 2'!#REF!*SQRT(1/'Dose-Response Worksheet 2'!#REF!+N18/'Dose-Response Worksheet 2'!#REF!),"")</f>
        <v>#REF!</v>
      </c>
      <c r="Q18" s="146" t="e">
        <f>IF('Dose-Response Worksheet 2'!#REF!="","",$O18-$P18)</f>
        <v>#REF!</v>
      </c>
      <c r="R18" s="146" t="e">
        <f>IF('Dose-Response Worksheet 2'!#REF!="","",$O18+$P18)</f>
        <v>#REF!</v>
      </c>
      <c r="S18" s="147" t="e">
        <f>IF('Dose-Response Worksheet 2'!#REF!&lt;&gt;"",($M18-$O18)^2,"")</f>
        <v>#REF!</v>
      </c>
      <c r="T18" s="46" t="str">
        <f t="shared" si="1"/>
        <v/>
      </c>
      <c r="U18" s="39"/>
      <c r="V18" s="41" t="str">
        <f>IF(ISNUMBER('Dose-Response Worksheet 3'!#REF!),'Dose-Response Worksheet 3'!#REF!,"")</f>
        <v/>
      </c>
      <c r="W18" s="52" t="str">
        <f>IF(ISNUMBER('Dose-Response Worksheet 3'!#REF!),'Dose-Response Worksheet 3'!#REF!,"")</f>
        <v/>
      </c>
      <c r="X18" s="146" t="e">
        <f>IF('Dose-Response Worksheet 3'!#REF!&lt;&gt;"",($V18-'Dose-Response Worksheet 3'!#REF!)^2,"")</f>
        <v>#REF!</v>
      </c>
      <c r="Y18" s="146" t="e">
        <f>IF('Dose-Response Worksheet 3'!#REF!&lt;&gt;"",($V18*'Dose-Response Worksheet 3'!#REF!)+'Dose-Response Worksheet 3'!#REF!,"")</f>
        <v>#REF!</v>
      </c>
      <c r="Z18" s="40" t="e">
        <f>IF('Dose-Response Worksheet 3'!#REF!&lt;&gt;"",TINV(0.05,'Dose-Response Worksheet 3'!#REF!)*'Dose-Response Worksheet 3'!#REF!*SQRT(1/'Dose-Response Worksheet 3'!#REF!+X18/'Dose-Response Worksheet 3'!#REF!),"")</f>
        <v>#REF!</v>
      </c>
      <c r="AA18" s="146" t="e">
        <f>IF('Dose-Response Worksheet 3'!#REF!="","",$Y18-$Z18)</f>
        <v>#REF!</v>
      </c>
      <c r="AB18" s="146" t="e">
        <f>IF('Dose-Response Worksheet 3'!#REF!="","",$Y18+$Z18)</f>
        <v>#REF!</v>
      </c>
      <c r="AC18" s="147" t="e">
        <f>IF('Dose-Response Worksheet 3'!#REF!&lt;&gt;"",($W18-$Y18)^2,"")</f>
        <v>#REF!</v>
      </c>
      <c r="AD18" s="46" t="str">
        <f t="shared" si="2"/>
        <v/>
      </c>
      <c r="AE18" s="39"/>
      <c r="AF18" s="40"/>
      <c r="AG18" s="39"/>
      <c r="AH18" s="39"/>
      <c r="AI18" s="47"/>
      <c r="AJ18" s="46"/>
      <c r="AK18" s="51"/>
      <c r="AL18" s="51"/>
      <c r="AM18" s="51"/>
    </row>
    <row r="19" spans="1:39" x14ac:dyDescent="0.4">
      <c r="A19" s="58"/>
      <c r="B19" s="41" t="str">
        <f>IF(ISNUMBER(' Dose-Response Worksheet 1'!#REF!),' Dose-Response Worksheet 1'!#REF!, "")</f>
        <v/>
      </c>
      <c r="C19" s="52" t="str">
        <f>IF(ISNUMBER(' Dose-Response Worksheet 1'!#REF!),' Dose-Response Worksheet 1'!#REF!,"")</f>
        <v/>
      </c>
      <c r="D19" s="146" t="e">
        <f>IF(' Dose-Response Worksheet 1'!#REF!&lt;&gt;"",(B19-' Dose-Response Worksheet 1'!#REF!)^2,"")</f>
        <v>#REF!</v>
      </c>
      <c r="E19" s="39" t="e">
        <f>IF(' Dose-Response Worksheet 1'!#REF!&lt;&gt;"",(B$19*' Dose-Response Worksheet 1'!#REF!)+' Dose-Response Worksheet 1'!#REF!,"")</f>
        <v>#REF!</v>
      </c>
      <c r="F19" s="40" t="e">
        <f>IF(' Dose-Response Worksheet 1'!#REF!&lt;&gt;"",TINV(0.05,' Dose-Response Worksheet 1'!#REF!)*' Dose-Response Worksheet 1'!#REF!*SQRT(1/' Dose-Response Worksheet 1'!#REF!+D19/' Dose-Response Worksheet 1'!#REF!),"")</f>
        <v>#REF!</v>
      </c>
      <c r="G19" s="146" t="e">
        <f>IF(' Dose-Response Worksheet 1'!#REF!="","",E19-F19)</f>
        <v>#REF!</v>
      </c>
      <c r="H19" s="146" t="e">
        <f>IF(' Dose-Response Worksheet 1'!#REF!="","",E19+F19)</f>
        <v>#REF!</v>
      </c>
      <c r="I19" s="147" t="e">
        <f>IF(' Dose-Response Worksheet 1'!#REF!&lt;&gt;"",(C19-E19)^2,"")</f>
        <v>#REF!</v>
      </c>
      <c r="J19" s="46" t="str">
        <f t="shared" si="0"/>
        <v/>
      </c>
      <c r="K19" s="46"/>
      <c r="L19" s="41" t="str">
        <f>IF(ISNUMBER('Dose-Response Worksheet 2'!#REF!),'Dose-Response Worksheet 2'!#REF!, "")</f>
        <v/>
      </c>
      <c r="M19" s="52" t="str">
        <f>IF(ISNUMBER('Dose-Response Worksheet 2'!#REF!),'Dose-Response Worksheet 2'!#REF!,"")</f>
        <v/>
      </c>
      <c r="N19" s="146" t="e">
        <f>IF('Dose-Response Worksheet 2'!#REF!&lt;&gt;"",($L19-'Dose-Response Worksheet 2'!#REF!)^2,"")</f>
        <v>#REF!</v>
      </c>
      <c r="O19" s="146" t="e">
        <f>IF('Dose-Response Worksheet 2'!#REF!&lt;&gt;"",($L19*'Dose-Response Worksheet 2'!#REF!)+'Dose-Response Worksheet 2'!#REF!,"")</f>
        <v>#REF!</v>
      </c>
      <c r="P19" s="40" t="e">
        <f>IF('Dose-Response Worksheet 2'!#REF!&lt;&gt;"",TINV(0.05,'Dose-Response Worksheet 2'!#REF!)*'Dose-Response Worksheet 2'!#REF!*SQRT(1/'Dose-Response Worksheet 2'!#REF!+N19/'Dose-Response Worksheet 2'!#REF!),"")</f>
        <v>#REF!</v>
      </c>
      <c r="Q19" s="146" t="e">
        <f>IF('Dose-Response Worksheet 2'!#REF!="","",$O19-$P19)</f>
        <v>#REF!</v>
      </c>
      <c r="R19" s="146" t="e">
        <f>IF('Dose-Response Worksheet 2'!#REF!="","",$O19+$P19)</f>
        <v>#REF!</v>
      </c>
      <c r="S19" s="147" t="e">
        <f>IF('Dose-Response Worksheet 2'!#REF!&lt;&gt;"",($M19-$O19)^2,"")</f>
        <v>#REF!</v>
      </c>
      <c r="T19" s="46" t="str">
        <f t="shared" si="1"/>
        <v/>
      </c>
      <c r="U19" s="39"/>
      <c r="V19" s="41" t="str">
        <f>IF(ISNUMBER('Dose-Response Worksheet 3'!#REF!),'Dose-Response Worksheet 3'!#REF!,"")</f>
        <v/>
      </c>
      <c r="W19" s="52" t="str">
        <f>IF(ISNUMBER('Dose-Response Worksheet 3'!#REF!),'Dose-Response Worksheet 3'!#REF!,"")</f>
        <v/>
      </c>
      <c r="X19" s="146" t="e">
        <f>IF('Dose-Response Worksheet 3'!#REF!&lt;&gt;"",($V19-'Dose-Response Worksheet 3'!#REF!)^2,"")</f>
        <v>#REF!</v>
      </c>
      <c r="Y19" s="146" t="e">
        <f>IF('Dose-Response Worksheet 3'!#REF!&lt;&gt;"",($V19*'Dose-Response Worksheet 3'!#REF!)+'Dose-Response Worksheet 3'!#REF!,"")</f>
        <v>#REF!</v>
      </c>
      <c r="Z19" s="40" t="e">
        <f>IF('Dose-Response Worksheet 3'!#REF!&lt;&gt;"",TINV(0.05,'Dose-Response Worksheet 3'!#REF!)*'Dose-Response Worksheet 3'!#REF!*SQRT(1/'Dose-Response Worksheet 3'!#REF!+X19/'Dose-Response Worksheet 3'!#REF!),"")</f>
        <v>#REF!</v>
      </c>
      <c r="AA19" s="146" t="e">
        <f>IF('Dose-Response Worksheet 3'!#REF!="","",$Y19-$Z19)</f>
        <v>#REF!</v>
      </c>
      <c r="AB19" s="146" t="e">
        <f>IF('Dose-Response Worksheet 3'!#REF!="","",$Y19+$Z19)</f>
        <v>#REF!</v>
      </c>
      <c r="AC19" s="147" t="e">
        <f>IF('Dose-Response Worksheet 3'!#REF!&lt;&gt;"",($W19-$Y19)^2,"")</f>
        <v>#REF!</v>
      </c>
      <c r="AD19" s="46" t="str">
        <f t="shared" si="2"/>
        <v/>
      </c>
      <c r="AE19" s="39"/>
      <c r="AF19" s="40"/>
      <c r="AG19" s="39"/>
      <c r="AH19" s="39"/>
      <c r="AI19" s="47"/>
      <c r="AJ19" s="46"/>
      <c r="AK19" s="51"/>
      <c r="AL19" s="51"/>
      <c r="AM19" s="51"/>
    </row>
    <row r="20" spans="1:39" x14ac:dyDescent="0.4">
      <c r="A20" s="58"/>
      <c r="B20" s="41" t="str">
        <f>IF(ISNUMBER(' Dose-Response Worksheet 1'!#REF!),' Dose-Response Worksheet 1'!#REF!, "")</f>
        <v/>
      </c>
      <c r="C20" s="52" t="str">
        <f>IF(ISNUMBER(' Dose-Response Worksheet 1'!#REF!),' Dose-Response Worksheet 1'!#REF!,"")</f>
        <v/>
      </c>
      <c r="D20" s="146" t="e">
        <f>IF(' Dose-Response Worksheet 1'!#REF!&lt;&gt;"",(B20-' Dose-Response Worksheet 1'!#REF!)^2,"")</f>
        <v>#REF!</v>
      </c>
      <c r="E20" s="39" t="e">
        <f>IF(' Dose-Response Worksheet 1'!#REF!&lt;&gt;"",(B$20*' Dose-Response Worksheet 1'!#REF!)+' Dose-Response Worksheet 1'!#REF!,"")</f>
        <v>#REF!</v>
      </c>
      <c r="F20" s="40" t="e">
        <f>IF(' Dose-Response Worksheet 1'!#REF!&lt;&gt;"",TINV(0.05,' Dose-Response Worksheet 1'!#REF!)*' Dose-Response Worksheet 1'!#REF!*SQRT(1/' Dose-Response Worksheet 1'!#REF!+D20/' Dose-Response Worksheet 1'!#REF!),"")</f>
        <v>#REF!</v>
      </c>
      <c r="G20" s="146" t="e">
        <f>IF(' Dose-Response Worksheet 1'!#REF!="","",E20-F20)</f>
        <v>#REF!</v>
      </c>
      <c r="H20" s="146" t="e">
        <f>IF(' Dose-Response Worksheet 1'!#REF!="","",E20+F20)</f>
        <v>#REF!</v>
      </c>
      <c r="I20" s="147" t="e">
        <f>IF(' Dose-Response Worksheet 1'!#REF!&lt;&gt;"",(C20-E20)^2,"")</f>
        <v>#REF!</v>
      </c>
      <c r="J20" s="46" t="str">
        <f t="shared" si="0"/>
        <v/>
      </c>
      <c r="K20" s="46"/>
      <c r="L20" s="41" t="str">
        <f>IF(ISNUMBER('Dose-Response Worksheet 2'!#REF!),'Dose-Response Worksheet 2'!#REF!, "")</f>
        <v/>
      </c>
      <c r="M20" s="52" t="str">
        <f>IF(ISNUMBER('Dose-Response Worksheet 2'!#REF!),'Dose-Response Worksheet 2'!#REF!,"")</f>
        <v/>
      </c>
      <c r="N20" s="146" t="e">
        <f>IF('Dose-Response Worksheet 2'!#REF!&lt;&gt;"",($L20-'Dose-Response Worksheet 2'!#REF!)^2,"")</f>
        <v>#REF!</v>
      </c>
      <c r="O20" s="146" t="e">
        <f>IF('Dose-Response Worksheet 2'!#REF!&lt;&gt;"",($L20*'Dose-Response Worksheet 2'!#REF!)+'Dose-Response Worksheet 2'!#REF!,"")</f>
        <v>#REF!</v>
      </c>
      <c r="P20" s="40" t="e">
        <f>IF('Dose-Response Worksheet 2'!#REF!&lt;&gt;"",TINV(0.05,'Dose-Response Worksheet 2'!#REF!)*'Dose-Response Worksheet 2'!#REF!*SQRT(1/'Dose-Response Worksheet 2'!#REF!+N20/'Dose-Response Worksheet 2'!#REF!),"")</f>
        <v>#REF!</v>
      </c>
      <c r="Q20" s="146" t="e">
        <f>IF('Dose-Response Worksheet 2'!#REF!="","",$O20-$P20)</f>
        <v>#REF!</v>
      </c>
      <c r="R20" s="146" t="e">
        <f>IF('Dose-Response Worksheet 2'!#REF!="","",$O20+$P20)</f>
        <v>#REF!</v>
      </c>
      <c r="S20" s="147" t="e">
        <f>IF('Dose-Response Worksheet 2'!#REF!&lt;&gt;"",($M20-$O20)^2,"")</f>
        <v>#REF!</v>
      </c>
      <c r="T20" s="46" t="str">
        <f t="shared" si="1"/>
        <v/>
      </c>
      <c r="U20" s="39"/>
      <c r="V20" s="41" t="str">
        <f>IF(ISNUMBER('Dose-Response Worksheet 3'!#REF!),'Dose-Response Worksheet 3'!#REF!,"")</f>
        <v/>
      </c>
      <c r="W20" s="52" t="str">
        <f>IF(ISNUMBER('Dose-Response Worksheet 3'!#REF!),'Dose-Response Worksheet 3'!#REF!,"")</f>
        <v/>
      </c>
      <c r="X20" s="146" t="e">
        <f>IF('Dose-Response Worksheet 3'!#REF!&lt;&gt;"",($V20-'Dose-Response Worksheet 3'!#REF!)^2,"")</f>
        <v>#REF!</v>
      </c>
      <c r="Y20" s="146" t="e">
        <f>IF('Dose-Response Worksheet 3'!#REF!&lt;&gt;"",($V20*'Dose-Response Worksheet 3'!#REF!)+'Dose-Response Worksheet 3'!#REF!,"")</f>
        <v>#REF!</v>
      </c>
      <c r="Z20" s="40" t="e">
        <f>IF('Dose-Response Worksheet 3'!#REF!&lt;&gt;"",TINV(0.05,'Dose-Response Worksheet 3'!#REF!)*'Dose-Response Worksheet 3'!#REF!*SQRT(1/'Dose-Response Worksheet 3'!#REF!+X20/'Dose-Response Worksheet 3'!#REF!),"")</f>
        <v>#REF!</v>
      </c>
      <c r="AA20" s="146" t="e">
        <f>IF('Dose-Response Worksheet 3'!#REF!="","",$Y20-$Z20)</f>
        <v>#REF!</v>
      </c>
      <c r="AB20" s="146" t="e">
        <f>IF('Dose-Response Worksheet 3'!#REF!="","",$Y20+$Z20)</f>
        <v>#REF!</v>
      </c>
      <c r="AC20" s="147" t="e">
        <f>IF('Dose-Response Worksheet 3'!#REF!&lt;&gt;"",($W20-$Y20)^2,"")</f>
        <v>#REF!</v>
      </c>
      <c r="AD20" s="46" t="str">
        <f t="shared" si="2"/>
        <v/>
      </c>
      <c r="AE20" s="39"/>
      <c r="AF20" s="40"/>
      <c r="AG20" s="39"/>
      <c r="AH20" s="39"/>
      <c r="AI20" s="47"/>
      <c r="AJ20" s="46"/>
      <c r="AK20" s="51"/>
      <c r="AL20" s="51"/>
      <c r="AM20" s="51"/>
    </row>
    <row r="21" spans="1:39" x14ac:dyDescent="0.4">
      <c r="A21" s="58"/>
      <c r="B21" s="41" t="str">
        <f>IF(ISNUMBER(' Dose-Response Worksheet 1'!#REF!),' Dose-Response Worksheet 1'!#REF!, "")</f>
        <v/>
      </c>
      <c r="C21" s="52" t="str">
        <f>IF(ISNUMBER(' Dose-Response Worksheet 1'!#REF!),' Dose-Response Worksheet 1'!#REF!,"")</f>
        <v/>
      </c>
      <c r="D21" s="146" t="e">
        <f>IF(' Dose-Response Worksheet 1'!#REF!&lt;&gt;"",(B21-' Dose-Response Worksheet 1'!#REF!)^2,"")</f>
        <v>#REF!</v>
      </c>
      <c r="E21" s="39" t="e">
        <f>IF(' Dose-Response Worksheet 1'!#REF!&lt;&gt;"",(B$21*' Dose-Response Worksheet 1'!#REF!)+' Dose-Response Worksheet 1'!#REF!,"")</f>
        <v>#REF!</v>
      </c>
      <c r="F21" s="40" t="e">
        <f>IF(' Dose-Response Worksheet 1'!#REF!&lt;&gt;"",TINV(0.05,' Dose-Response Worksheet 1'!#REF!)*' Dose-Response Worksheet 1'!#REF!*SQRT(1/' Dose-Response Worksheet 1'!#REF!+D21/' Dose-Response Worksheet 1'!#REF!),"")</f>
        <v>#REF!</v>
      </c>
      <c r="G21" s="146" t="e">
        <f>IF(' Dose-Response Worksheet 1'!#REF!="","",E21-F21)</f>
        <v>#REF!</v>
      </c>
      <c r="H21" s="146" t="e">
        <f>IF(' Dose-Response Worksheet 1'!#REF!="","",E21+F21)</f>
        <v>#REF!</v>
      </c>
      <c r="I21" s="147" t="e">
        <f>IF(' Dose-Response Worksheet 1'!#REF!&lt;&gt;"",(C21-E21)^2,"")</f>
        <v>#REF!</v>
      </c>
      <c r="J21" s="46" t="str">
        <f t="shared" si="0"/>
        <v/>
      </c>
      <c r="K21" s="46"/>
      <c r="L21" s="41" t="str">
        <f>IF(ISNUMBER('Dose-Response Worksheet 2'!#REF!),'Dose-Response Worksheet 2'!#REF!, "")</f>
        <v/>
      </c>
      <c r="M21" s="52" t="str">
        <f>IF(ISNUMBER('Dose-Response Worksheet 2'!#REF!),'Dose-Response Worksheet 2'!#REF!,"")</f>
        <v/>
      </c>
      <c r="N21" s="146" t="e">
        <f>IF('Dose-Response Worksheet 2'!#REF!&lt;&gt;"",($L21-'Dose-Response Worksheet 2'!#REF!)^2,"")</f>
        <v>#REF!</v>
      </c>
      <c r="O21" s="146" t="e">
        <f>IF('Dose-Response Worksheet 2'!#REF!&lt;&gt;"",($L21*'Dose-Response Worksheet 2'!#REF!)+'Dose-Response Worksheet 2'!#REF!,"")</f>
        <v>#REF!</v>
      </c>
      <c r="P21" s="40" t="e">
        <f>IF('Dose-Response Worksheet 2'!#REF!&lt;&gt;"",TINV(0.05,'Dose-Response Worksheet 2'!#REF!)*'Dose-Response Worksheet 2'!#REF!*SQRT(1/'Dose-Response Worksheet 2'!#REF!+N21/'Dose-Response Worksheet 2'!#REF!),"")</f>
        <v>#REF!</v>
      </c>
      <c r="Q21" s="146" t="e">
        <f>IF('Dose-Response Worksheet 2'!#REF!="","",$O21-$P21)</f>
        <v>#REF!</v>
      </c>
      <c r="R21" s="146" t="e">
        <f>IF('Dose-Response Worksheet 2'!#REF!="","",$O21+$P21)</f>
        <v>#REF!</v>
      </c>
      <c r="S21" s="147" t="e">
        <f>IF('Dose-Response Worksheet 2'!#REF!&lt;&gt;"",($M21-$O21)^2,"")</f>
        <v>#REF!</v>
      </c>
      <c r="T21" s="46" t="str">
        <f t="shared" si="1"/>
        <v/>
      </c>
      <c r="U21" s="39"/>
      <c r="V21" s="41" t="str">
        <f>IF(ISNUMBER('Dose-Response Worksheet 3'!#REF!),'Dose-Response Worksheet 3'!#REF!,"")</f>
        <v/>
      </c>
      <c r="W21" s="52" t="str">
        <f>IF(ISNUMBER('Dose-Response Worksheet 3'!#REF!),'Dose-Response Worksheet 3'!#REF!,"")</f>
        <v/>
      </c>
      <c r="X21" s="146" t="e">
        <f>IF('Dose-Response Worksheet 3'!#REF!&lt;&gt;"",($V21-'Dose-Response Worksheet 3'!#REF!)^2,"")</f>
        <v>#REF!</v>
      </c>
      <c r="Y21" s="146" t="e">
        <f>IF('Dose-Response Worksheet 3'!#REF!&lt;&gt;"",($V21*'Dose-Response Worksheet 3'!#REF!)+'Dose-Response Worksheet 3'!#REF!,"")</f>
        <v>#REF!</v>
      </c>
      <c r="Z21" s="40" t="e">
        <f>IF('Dose-Response Worksheet 3'!#REF!&lt;&gt;"",TINV(0.05,'Dose-Response Worksheet 3'!#REF!)*'Dose-Response Worksheet 3'!#REF!*SQRT(1/'Dose-Response Worksheet 3'!#REF!+X21/'Dose-Response Worksheet 3'!#REF!),"")</f>
        <v>#REF!</v>
      </c>
      <c r="AA21" s="146" t="e">
        <f>IF('Dose-Response Worksheet 3'!#REF!="","",$Y21-$Z21)</f>
        <v>#REF!</v>
      </c>
      <c r="AB21" s="146" t="e">
        <f>IF('Dose-Response Worksheet 3'!#REF!="","",$Y21+$Z21)</f>
        <v>#REF!</v>
      </c>
      <c r="AC21" s="147" t="e">
        <f>IF('Dose-Response Worksheet 3'!#REF!&lt;&gt;"",($W21-$Y21)^2,"")</f>
        <v>#REF!</v>
      </c>
      <c r="AD21" s="46" t="str">
        <f t="shared" si="2"/>
        <v/>
      </c>
      <c r="AE21" s="39"/>
      <c r="AF21" s="40"/>
      <c r="AG21" s="39"/>
      <c r="AH21" s="39"/>
      <c r="AI21" s="47"/>
      <c r="AJ21" s="46"/>
      <c r="AK21" s="51"/>
      <c r="AL21" s="51"/>
      <c r="AM21" s="51"/>
    </row>
    <row r="22" spans="1:39" x14ac:dyDescent="0.4">
      <c r="A22" s="58"/>
      <c r="B22" s="41" t="str">
        <f>IF(ISNUMBER(' Dose-Response Worksheet 1'!#REF!),' Dose-Response Worksheet 1'!#REF!, "")</f>
        <v/>
      </c>
      <c r="C22" s="52" t="str">
        <f>IF(ISNUMBER(' Dose-Response Worksheet 1'!#REF!),' Dose-Response Worksheet 1'!#REF!,"")</f>
        <v/>
      </c>
      <c r="D22" s="146" t="e">
        <f>IF(' Dose-Response Worksheet 1'!#REF!&lt;&gt;"",(B22-' Dose-Response Worksheet 1'!#REF!)^2,"")</f>
        <v>#REF!</v>
      </c>
      <c r="E22" s="39" t="e">
        <f>IF(' Dose-Response Worksheet 1'!#REF!&lt;&gt;"",(B$22*' Dose-Response Worksheet 1'!#REF!)+' Dose-Response Worksheet 1'!#REF!,"")</f>
        <v>#REF!</v>
      </c>
      <c r="F22" s="40" t="e">
        <f>IF(' Dose-Response Worksheet 1'!#REF!&lt;&gt;"",TINV(0.05,' Dose-Response Worksheet 1'!#REF!)*' Dose-Response Worksheet 1'!#REF!*SQRT(1/' Dose-Response Worksheet 1'!#REF!+D22/' Dose-Response Worksheet 1'!#REF!),"")</f>
        <v>#REF!</v>
      </c>
      <c r="G22" s="146" t="e">
        <f>IF(' Dose-Response Worksheet 1'!#REF!="","",E22-F22)</f>
        <v>#REF!</v>
      </c>
      <c r="H22" s="146" t="e">
        <f>IF(' Dose-Response Worksheet 1'!#REF!="","",E22+F22)</f>
        <v>#REF!</v>
      </c>
      <c r="I22" s="147" t="e">
        <f>IF(' Dose-Response Worksheet 1'!#REF!&lt;&gt;"",(C22-E22)^2,"")</f>
        <v>#REF!</v>
      </c>
      <c r="J22" s="46" t="str">
        <f t="shared" si="0"/>
        <v/>
      </c>
      <c r="K22" s="46"/>
      <c r="L22" s="41" t="str">
        <f>IF(ISNUMBER('Dose-Response Worksheet 2'!#REF!),'Dose-Response Worksheet 2'!#REF!, "")</f>
        <v/>
      </c>
      <c r="M22" s="52" t="str">
        <f>IF(ISNUMBER('Dose-Response Worksheet 2'!#REF!),'Dose-Response Worksheet 2'!#REF!,"")</f>
        <v/>
      </c>
      <c r="N22" s="146" t="e">
        <f>IF('Dose-Response Worksheet 2'!#REF!&lt;&gt;"",($L22-'Dose-Response Worksheet 2'!#REF!)^2,"")</f>
        <v>#REF!</v>
      </c>
      <c r="O22" s="146" t="e">
        <f>IF('Dose-Response Worksheet 2'!#REF!&lt;&gt;"",($L22*'Dose-Response Worksheet 2'!#REF!)+'Dose-Response Worksheet 2'!#REF!,"")</f>
        <v>#REF!</v>
      </c>
      <c r="P22" s="40" t="e">
        <f>IF('Dose-Response Worksheet 2'!#REF!&lt;&gt;"",TINV(0.05,'Dose-Response Worksheet 2'!#REF!)*'Dose-Response Worksheet 2'!#REF!*SQRT(1/'Dose-Response Worksheet 2'!#REF!+N22/'Dose-Response Worksheet 2'!#REF!),"")</f>
        <v>#REF!</v>
      </c>
      <c r="Q22" s="146" t="e">
        <f>IF('Dose-Response Worksheet 2'!#REF!="","",$O22-$P22)</f>
        <v>#REF!</v>
      </c>
      <c r="R22" s="146" t="e">
        <f>IF('Dose-Response Worksheet 2'!#REF!="","",$O22+$P22)</f>
        <v>#REF!</v>
      </c>
      <c r="S22" s="147" t="e">
        <f>IF('Dose-Response Worksheet 2'!#REF!&lt;&gt;"",($M22-$O22)^2,"")</f>
        <v>#REF!</v>
      </c>
      <c r="T22" s="46" t="str">
        <f t="shared" si="1"/>
        <v/>
      </c>
      <c r="U22" s="39"/>
      <c r="V22" s="41" t="str">
        <f>IF(ISNUMBER('Dose-Response Worksheet 3'!#REF!),'Dose-Response Worksheet 3'!#REF!,"")</f>
        <v/>
      </c>
      <c r="W22" s="52" t="str">
        <f>IF(ISNUMBER('Dose-Response Worksheet 3'!#REF!),'Dose-Response Worksheet 3'!#REF!,"")</f>
        <v/>
      </c>
      <c r="X22" s="146" t="e">
        <f>IF('Dose-Response Worksheet 3'!#REF!&lt;&gt;"",($V22-'Dose-Response Worksheet 3'!#REF!)^2,"")</f>
        <v>#REF!</v>
      </c>
      <c r="Y22" s="146" t="e">
        <f>IF('Dose-Response Worksheet 3'!#REF!&lt;&gt;"",($V22*'Dose-Response Worksheet 3'!#REF!)+'Dose-Response Worksheet 3'!#REF!,"")</f>
        <v>#REF!</v>
      </c>
      <c r="Z22" s="40" t="e">
        <f>IF('Dose-Response Worksheet 3'!#REF!&lt;&gt;"",TINV(0.05,'Dose-Response Worksheet 3'!#REF!)*'Dose-Response Worksheet 3'!#REF!*SQRT(1/'Dose-Response Worksheet 3'!#REF!+X22/'Dose-Response Worksheet 3'!#REF!),"")</f>
        <v>#REF!</v>
      </c>
      <c r="AA22" s="146" t="e">
        <f>IF('Dose-Response Worksheet 3'!#REF!="","",$Y22-$Z22)</f>
        <v>#REF!</v>
      </c>
      <c r="AB22" s="146" t="e">
        <f>IF('Dose-Response Worksheet 3'!#REF!="","",$Y22+$Z22)</f>
        <v>#REF!</v>
      </c>
      <c r="AC22" s="147" t="e">
        <f>IF('Dose-Response Worksheet 3'!#REF!&lt;&gt;"",($W22-$Y22)^2,"")</f>
        <v>#REF!</v>
      </c>
      <c r="AD22" s="46" t="str">
        <f t="shared" si="2"/>
        <v/>
      </c>
      <c r="AE22" s="39"/>
      <c r="AF22" s="40"/>
      <c r="AG22" s="39"/>
      <c r="AH22" s="39"/>
      <c r="AI22" s="47"/>
      <c r="AJ22" s="46"/>
      <c r="AK22" s="51"/>
      <c r="AL22" s="51"/>
      <c r="AM22" s="51"/>
    </row>
    <row r="23" spans="1:39" x14ac:dyDescent="0.4">
      <c r="A23" s="58"/>
      <c r="B23" s="41" t="str">
        <f>IF(ISNUMBER(' Dose-Response Worksheet 1'!#REF!),' Dose-Response Worksheet 1'!#REF!, "")</f>
        <v/>
      </c>
      <c r="C23" s="52" t="str">
        <f>IF(ISNUMBER(' Dose-Response Worksheet 1'!#REF!),' Dose-Response Worksheet 1'!#REF!,"")</f>
        <v/>
      </c>
      <c r="D23" s="146" t="e">
        <f>IF(' Dose-Response Worksheet 1'!#REF!&lt;&gt;"",(B23-' Dose-Response Worksheet 1'!#REF!)^2,"")</f>
        <v>#REF!</v>
      </c>
      <c r="E23" s="39" t="e">
        <f>IF(' Dose-Response Worksheet 1'!#REF!&lt;&gt;"",(B$23*' Dose-Response Worksheet 1'!#REF!)+' Dose-Response Worksheet 1'!#REF!,"")</f>
        <v>#REF!</v>
      </c>
      <c r="F23" s="40" t="e">
        <f>IF(' Dose-Response Worksheet 1'!#REF!&lt;&gt;"",TINV(0.05,' Dose-Response Worksheet 1'!#REF!)*' Dose-Response Worksheet 1'!#REF!*SQRT(1/' Dose-Response Worksheet 1'!#REF!+D23/' Dose-Response Worksheet 1'!#REF!),"")</f>
        <v>#REF!</v>
      </c>
      <c r="G23" s="146" t="e">
        <f>IF(' Dose-Response Worksheet 1'!#REF!="","",E23-F23)</f>
        <v>#REF!</v>
      </c>
      <c r="H23" s="146" t="e">
        <f>IF(' Dose-Response Worksheet 1'!#REF!="","",E23+F23)</f>
        <v>#REF!</v>
      </c>
      <c r="I23" s="147" t="e">
        <f>IF(' Dose-Response Worksheet 1'!#REF!&lt;&gt;"",(C23-E23)^2,"")</f>
        <v>#REF!</v>
      </c>
      <c r="J23" s="46" t="str">
        <f t="shared" si="0"/>
        <v/>
      </c>
      <c r="K23" s="46"/>
      <c r="L23" s="41" t="str">
        <f>IF(ISNUMBER('Dose-Response Worksheet 2'!#REF!),'Dose-Response Worksheet 2'!#REF!, "")</f>
        <v/>
      </c>
      <c r="M23" s="52" t="str">
        <f>IF(ISNUMBER('Dose-Response Worksheet 2'!#REF!),'Dose-Response Worksheet 2'!#REF!,"")</f>
        <v/>
      </c>
      <c r="N23" s="146" t="e">
        <f>IF('Dose-Response Worksheet 2'!#REF!&lt;&gt;"",($L23-'Dose-Response Worksheet 2'!#REF!)^2,"")</f>
        <v>#REF!</v>
      </c>
      <c r="O23" s="146" t="e">
        <f>IF('Dose-Response Worksheet 2'!#REF!&lt;&gt;"",($L23*'Dose-Response Worksheet 2'!#REF!)+'Dose-Response Worksheet 2'!#REF!,"")</f>
        <v>#REF!</v>
      </c>
      <c r="P23" s="40" t="e">
        <f>IF('Dose-Response Worksheet 2'!#REF!&lt;&gt;"",TINV(0.05,'Dose-Response Worksheet 2'!#REF!)*'Dose-Response Worksheet 2'!#REF!*SQRT(1/'Dose-Response Worksheet 2'!#REF!+N23/'Dose-Response Worksheet 2'!#REF!),"")</f>
        <v>#REF!</v>
      </c>
      <c r="Q23" s="146" t="e">
        <f>IF('Dose-Response Worksheet 2'!#REF!="","",$O23-$P23)</f>
        <v>#REF!</v>
      </c>
      <c r="R23" s="146" t="e">
        <f>IF('Dose-Response Worksheet 2'!#REF!="","",$O23+$P23)</f>
        <v>#REF!</v>
      </c>
      <c r="S23" s="147" t="e">
        <f>IF('Dose-Response Worksheet 2'!#REF!&lt;&gt;"",($M23-$O23)^2,"")</f>
        <v>#REF!</v>
      </c>
      <c r="T23" s="46" t="str">
        <f t="shared" si="1"/>
        <v/>
      </c>
      <c r="U23" s="39"/>
      <c r="V23" s="41" t="str">
        <f>IF(ISNUMBER('Dose-Response Worksheet 3'!#REF!),'Dose-Response Worksheet 3'!#REF!,"")</f>
        <v/>
      </c>
      <c r="W23" s="52" t="str">
        <f>IF(ISNUMBER('Dose-Response Worksheet 3'!#REF!),'Dose-Response Worksheet 3'!#REF!,"")</f>
        <v/>
      </c>
      <c r="X23" s="146" t="e">
        <f>IF('Dose-Response Worksheet 3'!#REF!&lt;&gt;"",($V23-'Dose-Response Worksheet 3'!#REF!)^2,"")</f>
        <v>#REF!</v>
      </c>
      <c r="Y23" s="146" t="e">
        <f>IF('Dose-Response Worksheet 3'!#REF!&lt;&gt;"",($V23*'Dose-Response Worksheet 3'!#REF!)+'Dose-Response Worksheet 3'!#REF!,"")</f>
        <v>#REF!</v>
      </c>
      <c r="Z23" s="40" t="e">
        <f>IF('Dose-Response Worksheet 3'!#REF!&lt;&gt;"",TINV(0.05,'Dose-Response Worksheet 3'!#REF!)*'Dose-Response Worksheet 3'!#REF!*SQRT(1/'Dose-Response Worksheet 3'!#REF!+X23/'Dose-Response Worksheet 3'!#REF!),"")</f>
        <v>#REF!</v>
      </c>
      <c r="AA23" s="146" t="e">
        <f>IF('Dose-Response Worksheet 3'!#REF!="","",$Y23-$Z23)</f>
        <v>#REF!</v>
      </c>
      <c r="AB23" s="146" t="e">
        <f>IF('Dose-Response Worksheet 3'!#REF!="","",$Y23+$Z23)</f>
        <v>#REF!</v>
      </c>
      <c r="AC23" s="147" t="e">
        <f>IF('Dose-Response Worksheet 3'!#REF!&lt;&gt;"",($W23-$Y23)^2,"")</f>
        <v>#REF!</v>
      </c>
      <c r="AD23" s="46" t="str">
        <f t="shared" si="2"/>
        <v/>
      </c>
      <c r="AE23" s="39"/>
      <c r="AF23" s="40"/>
      <c r="AG23" s="39"/>
      <c r="AH23" s="39"/>
      <c r="AI23" s="47"/>
      <c r="AJ23" s="46"/>
      <c r="AK23" s="51"/>
      <c r="AL23" s="51"/>
      <c r="AM23" s="51"/>
    </row>
    <row r="24" spans="1:39" x14ac:dyDescent="0.4">
      <c r="A24" s="58"/>
      <c r="B24" s="41" t="str">
        <f>IF(ISNUMBER(' Dose-Response Worksheet 1'!#REF!),' Dose-Response Worksheet 1'!#REF!, "")</f>
        <v/>
      </c>
      <c r="C24" s="52" t="str">
        <f>IF(ISNUMBER(' Dose-Response Worksheet 1'!#REF!),' Dose-Response Worksheet 1'!#REF!,"")</f>
        <v/>
      </c>
      <c r="D24" s="146" t="e">
        <f>IF(' Dose-Response Worksheet 1'!#REF!&lt;&gt;"",(B24-' Dose-Response Worksheet 1'!#REF!)^2,"")</f>
        <v>#REF!</v>
      </c>
      <c r="E24" s="39" t="e">
        <f>IF(' Dose-Response Worksheet 1'!#REF!&lt;&gt;"",(B$24*' Dose-Response Worksheet 1'!#REF!)+' Dose-Response Worksheet 1'!#REF!,"")</f>
        <v>#REF!</v>
      </c>
      <c r="F24" s="40" t="e">
        <f>IF(' Dose-Response Worksheet 1'!#REF!&lt;&gt;"",TINV(0.05,' Dose-Response Worksheet 1'!#REF!)*' Dose-Response Worksheet 1'!#REF!*SQRT(1/' Dose-Response Worksheet 1'!#REF!+D24/' Dose-Response Worksheet 1'!#REF!),"")</f>
        <v>#REF!</v>
      </c>
      <c r="G24" s="146" t="e">
        <f>IF(' Dose-Response Worksheet 1'!#REF!="","",E24-F24)</f>
        <v>#REF!</v>
      </c>
      <c r="H24" s="146" t="e">
        <f>IF(' Dose-Response Worksheet 1'!#REF!="","",E24+F24)</f>
        <v>#REF!</v>
      </c>
      <c r="I24" s="147" t="e">
        <f>IF(' Dose-Response Worksheet 1'!#REF!&lt;&gt;"",(C24-E24)^2,"")</f>
        <v>#REF!</v>
      </c>
      <c r="J24" s="46" t="str">
        <f t="shared" si="0"/>
        <v/>
      </c>
      <c r="K24" s="46"/>
      <c r="L24" s="41" t="str">
        <f>IF(ISNUMBER('Dose-Response Worksheet 2'!#REF!),'Dose-Response Worksheet 2'!#REF!, "")</f>
        <v/>
      </c>
      <c r="M24" s="52" t="str">
        <f>IF(ISNUMBER('Dose-Response Worksheet 2'!#REF!),'Dose-Response Worksheet 2'!#REF!,"")</f>
        <v/>
      </c>
      <c r="N24" s="146" t="e">
        <f>IF('Dose-Response Worksheet 2'!#REF!&lt;&gt;"",($L24-'Dose-Response Worksheet 2'!#REF!)^2,"")</f>
        <v>#REF!</v>
      </c>
      <c r="O24" s="146" t="e">
        <f>IF('Dose-Response Worksheet 2'!#REF!&lt;&gt;"",($L24*'Dose-Response Worksheet 2'!#REF!)+'Dose-Response Worksheet 2'!#REF!,"")</f>
        <v>#REF!</v>
      </c>
      <c r="P24" s="40" t="e">
        <f>IF('Dose-Response Worksheet 2'!#REF!&lt;&gt;"",TINV(0.05,'Dose-Response Worksheet 2'!#REF!)*'Dose-Response Worksheet 2'!#REF!*SQRT(1/'Dose-Response Worksheet 2'!#REF!+N24/'Dose-Response Worksheet 2'!#REF!),"")</f>
        <v>#REF!</v>
      </c>
      <c r="Q24" s="146" t="e">
        <f>IF('Dose-Response Worksheet 2'!#REF!="","",$O24-$P24)</f>
        <v>#REF!</v>
      </c>
      <c r="R24" s="146" t="e">
        <f>IF('Dose-Response Worksheet 2'!#REF!="","",$O24+$P24)</f>
        <v>#REF!</v>
      </c>
      <c r="S24" s="147" t="e">
        <f>IF('Dose-Response Worksheet 2'!#REF!&lt;&gt;"",($M24-$O24)^2,"")</f>
        <v>#REF!</v>
      </c>
      <c r="T24" s="46" t="str">
        <f t="shared" si="1"/>
        <v/>
      </c>
      <c r="U24" s="39"/>
      <c r="V24" s="41" t="str">
        <f>IF(ISNUMBER('Dose-Response Worksheet 3'!#REF!),'Dose-Response Worksheet 3'!#REF!,"")</f>
        <v/>
      </c>
      <c r="W24" s="52" t="str">
        <f>IF(ISNUMBER('Dose-Response Worksheet 3'!#REF!),'Dose-Response Worksheet 3'!#REF!,"")</f>
        <v/>
      </c>
      <c r="X24" s="146" t="e">
        <f>IF('Dose-Response Worksheet 3'!#REF!&lt;&gt;"",($V24-'Dose-Response Worksheet 3'!#REF!)^2,"")</f>
        <v>#REF!</v>
      </c>
      <c r="Y24" s="146" t="e">
        <f>IF('Dose-Response Worksheet 3'!#REF!&lt;&gt;"",($V24*'Dose-Response Worksheet 3'!#REF!)+'Dose-Response Worksheet 3'!#REF!,"")</f>
        <v>#REF!</v>
      </c>
      <c r="Z24" s="40" t="e">
        <f>IF('Dose-Response Worksheet 3'!#REF!&lt;&gt;"",TINV(0.05,'Dose-Response Worksheet 3'!#REF!)*'Dose-Response Worksheet 3'!#REF!*SQRT(1/'Dose-Response Worksheet 3'!#REF!+X24/'Dose-Response Worksheet 3'!#REF!),"")</f>
        <v>#REF!</v>
      </c>
      <c r="AA24" s="146" t="e">
        <f>IF('Dose-Response Worksheet 3'!#REF!="","",$Y24-$Z24)</f>
        <v>#REF!</v>
      </c>
      <c r="AB24" s="146" t="e">
        <f>IF('Dose-Response Worksheet 3'!#REF!="","",$Y24+$Z24)</f>
        <v>#REF!</v>
      </c>
      <c r="AC24" s="147" t="e">
        <f>IF('Dose-Response Worksheet 3'!#REF!&lt;&gt;"",($W24-$Y24)^2,"")</f>
        <v>#REF!</v>
      </c>
      <c r="AD24" s="46" t="str">
        <f t="shared" si="2"/>
        <v/>
      </c>
      <c r="AE24" s="39"/>
      <c r="AF24" s="40"/>
      <c r="AG24" s="39"/>
      <c r="AH24" s="39"/>
      <c r="AI24" s="47"/>
      <c r="AJ24" s="46"/>
      <c r="AK24" s="51"/>
      <c r="AL24" s="51"/>
      <c r="AM24" s="51"/>
    </row>
    <row r="25" spans="1:39" x14ac:dyDescent="0.4">
      <c r="A25" s="58"/>
      <c r="B25" s="41" t="str">
        <f>IF(ISNUMBER(' Dose-Response Worksheet 1'!#REF!),' Dose-Response Worksheet 1'!#REF!, "")</f>
        <v/>
      </c>
      <c r="C25" s="52" t="str">
        <f>IF(ISNUMBER(' Dose-Response Worksheet 1'!#REF!),' Dose-Response Worksheet 1'!#REF!,"")</f>
        <v/>
      </c>
      <c r="D25" s="146" t="e">
        <f>IF(' Dose-Response Worksheet 1'!#REF!&lt;&gt;"",(B25-' Dose-Response Worksheet 1'!#REF!)^2,"")</f>
        <v>#REF!</v>
      </c>
      <c r="E25" s="39" t="e">
        <f>IF(' Dose-Response Worksheet 1'!#REF!&lt;&gt;"",(B$25*' Dose-Response Worksheet 1'!#REF!)+' Dose-Response Worksheet 1'!#REF!,"")</f>
        <v>#REF!</v>
      </c>
      <c r="F25" s="40" t="e">
        <f>IF(' Dose-Response Worksheet 1'!#REF!&lt;&gt;"",TINV(0.05,' Dose-Response Worksheet 1'!#REF!)*' Dose-Response Worksheet 1'!#REF!*SQRT(1/' Dose-Response Worksheet 1'!#REF!+D25/' Dose-Response Worksheet 1'!#REF!),"")</f>
        <v>#REF!</v>
      </c>
      <c r="G25" s="146" t="e">
        <f>IF(' Dose-Response Worksheet 1'!#REF!="","",E25-F25)</f>
        <v>#REF!</v>
      </c>
      <c r="H25" s="146" t="e">
        <f>IF(' Dose-Response Worksheet 1'!#REF!="","",E25+F25)</f>
        <v>#REF!</v>
      </c>
      <c r="I25" s="147" t="e">
        <f>IF(' Dose-Response Worksheet 1'!#REF!&lt;&gt;"",(C25-E25)^2,"")</f>
        <v>#REF!</v>
      </c>
      <c r="J25" s="46" t="str">
        <f t="shared" si="0"/>
        <v/>
      </c>
      <c r="K25" s="46"/>
      <c r="L25" s="41" t="str">
        <f>IF(ISNUMBER('Dose-Response Worksheet 2'!#REF!),'Dose-Response Worksheet 2'!#REF!, "")</f>
        <v/>
      </c>
      <c r="M25" s="52" t="str">
        <f>IF(ISNUMBER('Dose-Response Worksheet 2'!#REF!),'Dose-Response Worksheet 2'!#REF!,"")</f>
        <v/>
      </c>
      <c r="N25" s="146" t="e">
        <f>IF('Dose-Response Worksheet 2'!#REF!&lt;&gt;"",($L25-'Dose-Response Worksheet 2'!#REF!)^2,"")</f>
        <v>#REF!</v>
      </c>
      <c r="O25" s="146" t="e">
        <f>IF('Dose-Response Worksheet 2'!#REF!&lt;&gt;"",($L25*'Dose-Response Worksheet 2'!#REF!)+'Dose-Response Worksheet 2'!#REF!,"")</f>
        <v>#REF!</v>
      </c>
      <c r="P25" s="40" t="e">
        <f>IF('Dose-Response Worksheet 2'!#REF!&lt;&gt;"",TINV(0.05,'Dose-Response Worksheet 2'!#REF!)*'Dose-Response Worksheet 2'!#REF!*SQRT(1/'Dose-Response Worksheet 2'!#REF!+N25/'Dose-Response Worksheet 2'!#REF!),"")</f>
        <v>#REF!</v>
      </c>
      <c r="Q25" s="146" t="e">
        <f>IF('Dose-Response Worksheet 2'!#REF!="","",$O25-$P25)</f>
        <v>#REF!</v>
      </c>
      <c r="R25" s="146" t="e">
        <f>IF('Dose-Response Worksheet 2'!#REF!="","",$O25+$P25)</f>
        <v>#REF!</v>
      </c>
      <c r="S25" s="147" t="e">
        <f>IF('Dose-Response Worksheet 2'!#REF!&lt;&gt;"",($M25-$O25)^2,"")</f>
        <v>#REF!</v>
      </c>
      <c r="T25" s="46" t="str">
        <f t="shared" si="1"/>
        <v/>
      </c>
      <c r="U25" s="39"/>
      <c r="V25" s="41" t="str">
        <f>IF(ISNUMBER('Dose-Response Worksheet 3'!#REF!),'Dose-Response Worksheet 3'!#REF!,"")</f>
        <v/>
      </c>
      <c r="W25" s="52" t="str">
        <f>IF(ISNUMBER('Dose-Response Worksheet 3'!#REF!),'Dose-Response Worksheet 3'!#REF!,"")</f>
        <v/>
      </c>
      <c r="X25" s="146" t="e">
        <f>IF('Dose-Response Worksheet 3'!#REF!&lt;&gt;"",($V25-'Dose-Response Worksheet 3'!#REF!)^2,"")</f>
        <v>#REF!</v>
      </c>
      <c r="Y25" s="146" t="e">
        <f>IF('Dose-Response Worksheet 3'!#REF!&lt;&gt;"",($V25*'Dose-Response Worksheet 3'!#REF!)+'Dose-Response Worksheet 3'!#REF!,"")</f>
        <v>#REF!</v>
      </c>
      <c r="Z25" s="40" t="e">
        <f>IF('Dose-Response Worksheet 3'!#REF!&lt;&gt;"",TINV(0.05,'Dose-Response Worksheet 3'!#REF!)*'Dose-Response Worksheet 3'!#REF!*SQRT(1/'Dose-Response Worksheet 3'!#REF!+X25/'Dose-Response Worksheet 3'!#REF!),"")</f>
        <v>#REF!</v>
      </c>
      <c r="AA25" s="146" t="e">
        <f>IF('Dose-Response Worksheet 3'!#REF!="","",$Y25-$Z25)</f>
        <v>#REF!</v>
      </c>
      <c r="AB25" s="146" t="e">
        <f>IF('Dose-Response Worksheet 3'!#REF!="","",$Y25+$Z25)</f>
        <v>#REF!</v>
      </c>
      <c r="AC25" s="147" t="e">
        <f>IF('Dose-Response Worksheet 3'!#REF!&lt;&gt;"",($W25-$Y25)^2,"")</f>
        <v>#REF!</v>
      </c>
      <c r="AD25" s="46" t="str">
        <f t="shared" si="2"/>
        <v/>
      </c>
      <c r="AE25" s="39"/>
      <c r="AF25" s="40"/>
      <c r="AG25" s="39"/>
      <c r="AH25" s="39"/>
      <c r="AI25" s="47"/>
      <c r="AJ25" s="46"/>
      <c r="AK25" s="51"/>
      <c r="AL25" s="51"/>
      <c r="AM25" s="51"/>
    </row>
    <row r="26" spans="1:39" x14ac:dyDescent="0.4">
      <c r="A26" s="58"/>
      <c r="B26" s="41" t="str">
        <f>IF(ISNUMBER(' Dose-Response Worksheet 1'!#REF!),' Dose-Response Worksheet 1'!#REF!, "")</f>
        <v/>
      </c>
      <c r="C26" s="52" t="str">
        <f>IF(ISNUMBER(' Dose-Response Worksheet 1'!#REF!),' Dose-Response Worksheet 1'!#REF!,"")</f>
        <v/>
      </c>
      <c r="D26" s="146" t="e">
        <f>IF(' Dose-Response Worksheet 1'!#REF!&lt;&gt;"",(B26-' Dose-Response Worksheet 1'!#REF!)^2,"")</f>
        <v>#REF!</v>
      </c>
      <c r="E26" s="39" t="e">
        <f>IF(' Dose-Response Worksheet 1'!#REF!&lt;&gt;"",(B$26*' Dose-Response Worksheet 1'!#REF!)+' Dose-Response Worksheet 1'!#REF!,"")</f>
        <v>#REF!</v>
      </c>
      <c r="F26" s="40" t="e">
        <f>IF(' Dose-Response Worksheet 1'!#REF!&lt;&gt;"",TINV(0.05,' Dose-Response Worksheet 1'!#REF!)*' Dose-Response Worksheet 1'!#REF!*SQRT(1/' Dose-Response Worksheet 1'!#REF!+D26/' Dose-Response Worksheet 1'!#REF!),"")</f>
        <v>#REF!</v>
      </c>
      <c r="G26" s="146" t="e">
        <f>IF(' Dose-Response Worksheet 1'!#REF!="","",E26-F26)</f>
        <v>#REF!</v>
      </c>
      <c r="H26" s="146" t="e">
        <f>IF(' Dose-Response Worksheet 1'!#REF!="","",E26+F26)</f>
        <v>#REF!</v>
      </c>
      <c r="I26" s="147" t="e">
        <f>IF(' Dose-Response Worksheet 1'!#REF!&lt;&gt;"",(C26-E26)^2,"")</f>
        <v>#REF!</v>
      </c>
      <c r="J26" s="46" t="str">
        <f>IF(B26="","",B26)</f>
        <v/>
      </c>
      <c r="K26" s="46"/>
      <c r="L26" s="41" t="str">
        <f>IF(ISNUMBER('Dose-Response Worksheet 2'!#REF!),'Dose-Response Worksheet 2'!#REF!, "")</f>
        <v/>
      </c>
      <c r="M26" s="52" t="str">
        <f>IF(ISNUMBER('Dose-Response Worksheet 2'!#REF!),'Dose-Response Worksheet 2'!#REF!,"")</f>
        <v/>
      </c>
      <c r="N26" s="146" t="e">
        <f>IF('Dose-Response Worksheet 2'!#REF!&lt;&gt;"",($L26-'Dose-Response Worksheet 2'!#REF!)^2,"")</f>
        <v>#REF!</v>
      </c>
      <c r="O26" s="146" t="e">
        <f>IF('Dose-Response Worksheet 2'!#REF!&lt;&gt;"",($L26*'Dose-Response Worksheet 2'!#REF!)+'Dose-Response Worksheet 2'!#REF!,"")</f>
        <v>#REF!</v>
      </c>
      <c r="P26" s="40" t="e">
        <f>IF('Dose-Response Worksheet 2'!#REF!&lt;&gt;"",TINV(0.05,'Dose-Response Worksheet 2'!#REF!)*'Dose-Response Worksheet 2'!#REF!*SQRT(1/'Dose-Response Worksheet 2'!#REF!+N26/'Dose-Response Worksheet 2'!#REF!),"")</f>
        <v>#REF!</v>
      </c>
      <c r="Q26" s="146" t="e">
        <f>IF('Dose-Response Worksheet 2'!#REF!="","",$O26-$P26)</f>
        <v>#REF!</v>
      </c>
      <c r="R26" s="146" t="e">
        <f>IF('Dose-Response Worksheet 2'!#REF!="","",$O26+$P26)</f>
        <v>#REF!</v>
      </c>
      <c r="S26" s="147" t="e">
        <f>IF('Dose-Response Worksheet 2'!#REF!&lt;&gt;"",($M26-$O26)^2,"")</f>
        <v>#REF!</v>
      </c>
      <c r="T26" s="46" t="str">
        <f t="shared" si="1"/>
        <v/>
      </c>
      <c r="U26" s="39"/>
      <c r="V26" s="41" t="str">
        <f>IF(ISNUMBER('Dose-Response Worksheet 3'!#REF!),'Dose-Response Worksheet 3'!#REF!,"")</f>
        <v/>
      </c>
      <c r="W26" s="52" t="str">
        <f>IF(ISNUMBER('Dose-Response Worksheet 3'!#REF!),'Dose-Response Worksheet 3'!#REF!,"")</f>
        <v/>
      </c>
      <c r="X26" s="146" t="e">
        <f>IF('Dose-Response Worksheet 3'!#REF!&lt;&gt;"",($V26-'Dose-Response Worksheet 3'!#REF!)^2,"")</f>
        <v>#REF!</v>
      </c>
      <c r="Y26" s="146" t="e">
        <f>IF('Dose-Response Worksheet 3'!#REF!&lt;&gt;"",($V26*'Dose-Response Worksheet 3'!#REF!)+'Dose-Response Worksheet 3'!#REF!,"")</f>
        <v>#REF!</v>
      </c>
      <c r="Z26" s="40" t="e">
        <f>IF('Dose-Response Worksheet 3'!#REF!&lt;&gt;"",TINV(0.05,'Dose-Response Worksheet 3'!#REF!)*'Dose-Response Worksheet 3'!#REF!*SQRT(1/'Dose-Response Worksheet 3'!#REF!+X26/'Dose-Response Worksheet 3'!#REF!),"")</f>
        <v>#REF!</v>
      </c>
      <c r="AA26" s="146" t="e">
        <f>IF('Dose-Response Worksheet 3'!#REF!="","",$Y26-$Z26)</f>
        <v>#REF!</v>
      </c>
      <c r="AB26" s="146" t="e">
        <f>IF('Dose-Response Worksheet 3'!#REF!="","",$Y26+$Z26)</f>
        <v>#REF!</v>
      </c>
      <c r="AC26" s="147" t="e">
        <f>IF('Dose-Response Worksheet 3'!#REF!&lt;&gt;"",($W26-$Y26)^2,"")</f>
        <v>#REF!</v>
      </c>
      <c r="AD26" s="46" t="str">
        <f t="shared" si="2"/>
        <v/>
      </c>
      <c r="AE26" s="39"/>
      <c r="AF26" s="40"/>
      <c r="AG26" s="39"/>
      <c r="AH26" s="39"/>
      <c r="AI26" s="47"/>
      <c r="AJ26" s="46"/>
      <c r="AK26" s="51"/>
      <c r="AL26" s="51"/>
      <c r="AM26" s="51"/>
    </row>
    <row r="27" spans="1:39" x14ac:dyDescent="0.4">
      <c r="A27" s="58"/>
      <c r="B27" s="41" t="str">
        <f>IF(ISNUMBER(' Dose-Response Worksheet 1'!#REF!),' Dose-Response Worksheet 1'!#REF!, "")</f>
        <v/>
      </c>
      <c r="C27" s="52" t="str">
        <f>IF(ISNUMBER(' Dose-Response Worksheet 1'!#REF!),' Dose-Response Worksheet 1'!#REF!,"")</f>
        <v/>
      </c>
      <c r="D27" s="146" t="e">
        <f>IF(' Dose-Response Worksheet 1'!#REF!&lt;&gt;"",(B27-' Dose-Response Worksheet 1'!#REF!)^2,"")</f>
        <v>#REF!</v>
      </c>
      <c r="E27" s="39" t="e">
        <f>IF(' Dose-Response Worksheet 1'!#REF!&lt;&gt;"",(B$27*' Dose-Response Worksheet 1'!#REF!)+' Dose-Response Worksheet 1'!#REF!,"")</f>
        <v>#REF!</v>
      </c>
      <c r="F27" s="40" t="e">
        <f>IF(' Dose-Response Worksheet 1'!#REF!&lt;&gt;"",TINV(0.05,' Dose-Response Worksheet 1'!#REF!)*' Dose-Response Worksheet 1'!#REF!*SQRT(1/' Dose-Response Worksheet 1'!#REF!+D27/' Dose-Response Worksheet 1'!#REF!),"")</f>
        <v>#REF!</v>
      </c>
      <c r="G27" s="146" t="e">
        <f>IF(' Dose-Response Worksheet 1'!#REF!="","",E27-F27)</f>
        <v>#REF!</v>
      </c>
      <c r="H27" s="146" t="e">
        <f>IF(' Dose-Response Worksheet 1'!#REF!="","",E27+F27)</f>
        <v>#REF!</v>
      </c>
      <c r="I27" s="147" t="e">
        <f>IF(' Dose-Response Worksheet 1'!#REF!&lt;&gt;"",(C27-E27)^2,"")</f>
        <v>#REF!</v>
      </c>
      <c r="J27" s="46" t="str">
        <f t="shared" si="0"/>
        <v/>
      </c>
      <c r="K27" s="46"/>
      <c r="L27" s="41" t="str">
        <f>IF(ISNUMBER('Dose-Response Worksheet 2'!#REF!),'Dose-Response Worksheet 2'!#REF!, "")</f>
        <v/>
      </c>
      <c r="M27" s="52" t="str">
        <f>IF(ISNUMBER('Dose-Response Worksheet 2'!#REF!),'Dose-Response Worksheet 2'!#REF!,"")</f>
        <v/>
      </c>
      <c r="N27" s="146" t="e">
        <f>IF('Dose-Response Worksheet 2'!#REF!&lt;&gt;"",($L27-'Dose-Response Worksheet 2'!#REF!)^2,"")</f>
        <v>#REF!</v>
      </c>
      <c r="O27" s="146" t="e">
        <f>IF('Dose-Response Worksheet 2'!#REF!&lt;&gt;"",($L27*'Dose-Response Worksheet 2'!#REF!)+'Dose-Response Worksheet 2'!#REF!,"")</f>
        <v>#REF!</v>
      </c>
      <c r="P27" s="40" t="e">
        <f>IF('Dose-Response Worksheet 2'!#REF!&lt;&gt;"",TINV(0.05,'Dose-Response Worksheet 2'!#REF!)*'Dose-Response Worksheet 2'!#REF!*SQRT(1/'Dose-Response Worksheet 2'!#REF!+N27/'Dose-Response Worksheet 2'!#REF!),"")</f>
        <v>#REF!</v>
      </c>
      <c r="Q27" s="146" t="e">
        <f>IF('Dose-Response Worksheet 2'!#REF!="","",$O27-$P27)</f>
        <v>#REF!</v>
      </c>
      <c r="R27" s="146" t="e">
        <f>IF('Dose-Response Worksheet 2'!#REF!="","",$O27+$P27)</f>
        <v>#REF!</v>
      </c>
      <c r="S27" s="147" t="e">
        <f>IF('Dose-Response Worksheet 2'!#REF!&lt;&gt;"",($M27-$O27)^2,"")</f>
        <v>#REF!</v>
      </c>
      <c r="T27" s="46" t="str">
        <f t="shared" si="1"/>
        <v/>
      </c>
      <c r="U27" s="39"/>
      <c r="V27" s="41" t="str">
        <f>IF(ISNUMBER('Dose-Response Worksheet 3'!#REF!),'Dose-Response Worksheet 3'!#REF!,"")</f>
        <v/>
      </c>
      <c r="W27" s="52" t="str">
        <f>IF(ISNUMBER('Dose-Response Worksheet 3'!#REF!),'Dose-Response Worksheet 3'!#REF!,"")</f>
        <v/>
      </c>
      <c r="X27" s="146" t="e">
        <f>IF('Dose-Response Worksheet 3'!#REF!&lt;&gt;"",($V27-'Dose-Response Worksheet 3'!#REF!)^2,"")</f>
        <v>#REF!</v>
      </c>
      <c r="Y27" s="146" t="e">
        <f>IF('Dose-Response Worksheet 3'!#REF!&lt;&gt;"",($V27*'Dose-Response Worksheet 3'!#REF!)+'Dose-Response Worksheet 3'!#REF!,"")</f>
        <v>#REF!</v>
      </c>
      <c r="Z27" s="40" t="e">
        <f>IF('Dose-Response Worksheet 3'!#REF!&lt;&gt;"",TINV(0.05,'Dose-Response Worksheet 3'!#REF!)*'Dose-Response Worksheet 3'!#REF!*SQRT(1/'Dose-Response Worksheet 3'!#REF!+X27/'Dose-Response Worksheet 3'!#REF!),"")</f>
        <v>#REF!</v>
      </c>
      <c r="AA27" s="146" t="e">
        <f>IF('Dose-Response Worksheet 3'!#REF!="","",$Y27-$Z27)</f>
        <v>#REF!</v>
      </c>
      <c r="AB27" s="146" t="e">
        <f>IF('Dose-Response Worksheet 3'!#REF!="","",$Y27+$Z27)</f>
        <v>#REF!</v>
      </c>
      <c r="AC27" s="147" t="e">
        <f>IF('Dose-Response Worksheet 3'!#REF!&lt;&gt;"",($W27-$Y27)^2,"")</f>
        <v>#REF!</v>
      </c>
      <c r="AD27" s="46" t="str">
        <f t="shared" si="2"/>
        <v/>
      </c>
      <c r="AE27" s="39"/>
      <c r="AF27" s="40"/>
      <c r="AG27" s="39"/>
      <c r="AH27" s="39"/>
      <c r="AI27" s="47"/>
      <c r="AJ27" s="46"/>
      <c r="AK27" s="51"/>
      <c r="AL27" s="51"/>
      <c r="AM27" s="51"/>
    </row>
    <row r="28" spans="1:39" x14ac:dyDescent="0.4">
      <c r="A28" s="58"/>
      <c r="B28" s="41" t="str">
        <f>IF(ISNUMBER(' Dose-Response Worksheet 1'!#REF!),' Dose-Response Worksheet 1'!#REF!, "")</f>
        <v/>
      </c>
      <c r="C28" s="52" t="str">
        <f>IF(ISNUMBER(' Dose-Response Worksheet 1'!#REF!),' Dose-Response Worksheet 1'!#REF!,"")</f>
        <v/>
      </c>
      <c r="D28" s="146" t="e">
        <f>IF(' Dose-Response Worksheet 1'!#REF!&lt;&gt;"",(B28-' Dose-Response Worksheet 1'!#REF!)^2,"")</f>
        <v>#REF!</v>
      </c>
      <c r="E28" s="39" t="e">
        <f>IF(' Dose-Response Worksheet 1'!#REF!&lt;&gt;"",(B$28*' Dose-Response Worksheet 1'!#REF!)+' Dose-Response Worksheet 1'!#REF!,"")</f>
        <v>#REF!</v>
      </c>
      <c r="F28" s="40" t="e">
        <f>IF(' Dose-Response Worksheet 1'!#REF!&lt;&gt;"",TINV(0.05,' Dose-Response Worksheet 1'!#REF!)*' Dose-Response Worksheet 1'!#REF!*SQRT(1/' Dose-Response Worksheet 1'!#REF!+D28/' Dose-Response Worksheet 1'!#REF!),"")</f>
        <v>#REF!</v>
      </c>
      <c r="G28" s="146" t="e">
        <f>IF(' Dose-Response Worksheet 1'!#REF!="","",E28-F28)</f>
        <v>#REF!</v>
      </c>
      <c r="H28" s="146" t="e">
        <f>IF(' Dose-Response Worksheet 1'!#REF!="","",E28+F28)</f>
        <v>#REF!</v>
      </c>
      <c r="I28" s="147" t="e">
        <f>IF(' Dose-Response Worksheet 1'!#REF!&lt;&gt;"",(C28-E28)^2,"")</f>
        <v>#REF!</v>
      </c>
      <c r="J28" s="46" t="str">
        <f t="shared" si="0"/>
        <v/>
      </c>
      <c r="K28" s="46"/>
      <c r="L28" s="41" t="str">
        <f>IF(ISNUMBER('Dose-Response Worksheet 2'!#REF!),'Dose-Response Worksheet 2'!#REF!, "")</f>
        <v/>
      </c>
      <c r="M28" s="52" t="str">
        <f>IF(ISNUMBER('Dose-Response Worksheet 2'!#REF!),'Dose-Response Worksheet 2'!#REF!,"")</f>
        <v/>
      </c>
      <c r="N28" s="146" t="e">
        <f>IF('Dose-Response Worksheet 2'!#REF!&lt;&gt;"",($L28-'Dose-Response Worksheet 2'!#REF!)^2,"")</f>
        <v>#REF!</v>
      </c>
      <c r="O28" s="146" t="e">
        <f>IF('Dose-Response Worksheet 2'!#REF!&lt;&gt;"",($L28*'Dose-Response Worksheet 2'!#REF!)+'Dose-Response Worksheet 2'!#REF!,"")</f>
        <v>#REF!</v>
      </c>
      <c r="P28" s="40" t="e">
        <f>IF('Dose-Response Worksheet 2'!#REF!&lt;&gt;"",TINV(0.05,'Dose-Response Worksheet 2'!#REF!)*'Dose-Response Worksheet 2'!#REF!*SQRT(1/'Dose-Response Worksheet 2'!#REF!+N28/'Dose-Response Worksheet 2'!#REF!),"")</f>
        <v>#REF!</v>
      </c>
      <c r="Q28" s="146" t="e">
        <f>IF('Dose-Response Worksheet 2'!#REF!="","",$O28-$P28)</f>
        <v>#REF!</v>
      </c>
      <c r="R28" s="146" t="e">
        <f>IF('Dose-Response Worksheet 2'!#REF!="","",$O28+$P28)</f>
        <v>#REF!</v>
      </c>
      <c r="S28" s="147" t="e">
        <f>IF('Dose-Response Worksheet 2'!#REF!&lt;&gt;"",($M28-$O28)^2,"")</f>
        <v>#REF!</v>
      </c>
      <c r="T28" s="46" t="str">
        <f t="shared" si="1"/>
        <v/>
      </c>
      <c r="U28" s="39"/>
      <c r="V28" s="41" t="str">
        <f>IF(ISNUMBER('Dose-Response Worksheet 3'!#REF!),'Dose-Response Worksheet 3'!#REF!,"")</f>
        <v/>
      </c>
      <c r="W28" s="52" t="str">
        <f>IF(ISNUMBER('Dose-Response Worksheet 3'!#REF!),'Dose-Response Worksheet 3'!#REF!,"")</f>
        <v/>
      </c>
      <c r="X28" s="146" t="e">
        <f>IF('Dose-Response Worksheet 3'!#REF!&lt;&gt;"",($V28-'Dose-Response Worksheet 3'!#REF!)^2,"")</f>
        <v>#REF!</v>
      </c>
      <c r="Y28" s="146" t="e">
        <f>IF('Dose-Response Worksheet 3'!#REF!&lt;&gt;"",($V28*'Dose-Response Worksheet 3'!#REF!)+'Dose-Response Worksheet 3'!#REF!,"")</f>
        <v>#REF!</v>
      </c>
      <c r="Z28" s="40" t="e">
        <f>IF('Dose-Response Worksheet 3'!#REF!&lt;&gt;"",TINV(0.05,'Dose-Response Worksheet 3'!#REF!)*'Dose-Response Worksheet 3'!#REF!*SQRT(1/'Dose-Response Worksheet 3'!#REF!+X28/'Dose-Response Worksheet 3'!#REF!),"")</f>
        <v>#REF!</v>
      </c>
      <c r="AA28" s="146" t="e">
        <f>IF('Dose-Response Worksheet 3'!#REF!="","",$Y28-$Z28)</f>
        <v>#REF!</v>
      </c>
      <c r="AB28" s="146" t="e">
        <f>IF('Dose-Response Worksheet 3'!#REF!="","",$Y28+$Z28)</f>
        <v>#REF!</v>
      </c>
      <c r="AC28" s="147" t="e">
        <f>IF('Dose-Response Worksheet 3'!#REF!&lt;&gt;"",($W28-$Y28)^2,"")</f>
        <v>#REF!</v>
      </c>
      <c r="AD28" s="46" t="str">
        <f t="shared" si="2"/>
        <v/>
      </c>
      <c r="AE28" s="39"/>
      <c r="AF28" s="40"/>
      <c r="AG28" s="39"/>
      <c r="AH28" s="39"/>
      <c r="AI28" s="47"/>
      <c r="AJ28" s="46"/>
      <c r="AK28" s="51"/>
      <c r="AL28" s="51"/>
      <c r="AM28" s="51"/>
    </row>
    <row r="29" spans="1:39" x14ac:dyDescent="0.4">
      <c r="B29" s="59"/>
      <c r="C29" s="59"/>
    </row>
    <row r="30" spans="1:39" x14ac:dyDescent="0.4">
      <c r="B30" s="60"/>
      <c r="C30" s="60"/>
    </row>
    <row r="31" spans="1:39" x14ac:dyDescent="0.4">
      <c r="B31" s="58"/>
      <c r="C31" s="58"/>
      <c r="D31" s="58"/>
      <c r="E31" s="58"/>
      <c r="F31" s="58"/>
      <c r="G31" s="58"/>
      <c r="H31" s="58"/>
      <c r="I31" s="60"/>
    </row>
    <row r="32" spans="1:39" x14ac:dyDescent="0.4">
      <c r="A32" s="58"/>
    </row>
    <row r="33" spans="15:27" x14ac:dyDescent="0.4">
      <c r="O33"/>
      <c r="P33"/>
      <c r="Q33"/>
      <c r="R33"/>
      <c r="S33"/>
      <c r="T33"/>
      <c r="U33"/>
      <c r="V33"/>
      <c r="W33"/>
      <c r="X33"/>
      <c r="Y33"/>
      <c r="Z33"/>
      <c r="AA33"/>
    </row>
  </sheetData>
  <sheetProtection selectLockedCells="1" selectUnlockedCells="1"/>
  <mergeCells count="6">
    <mergeCell ref="X2:X3"/>
    <mergeCell ref="C2:C3"/>
    <mergeCell ref="D2:D3"/>
    <mergeCell ref="M2:M3"/>
    <mergeCell ref="N2:N3"/>
    <mergeCell ref="W2:W3"/>
  </mergeCells>
  <pageMargins left="0.7" right="0.7" top="0.75" bottom="0.75" header="0.3" footer="0.3"/>
  <pageSetup scale="73" orientation="portrait" r:id="rId1"/>
  <colBreaks count="2" manualBreakCount="2">
    <brk id="13" max="1048575" man="1"/>
    <brk id="2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AO40"/>
  <sheetViews>
    <sheetView zoomScaleNormal="100" workbookViewId="0">
      <selection activeCell="J31" sqref="J31"/>
    </sheetView>
  </sheetViews>
  <sheetFormatPr defaultRowHeight="12.7" x14ac:dyDescent="0.4"/>
  <cols>
    <col min="1" max="1" width="8.52734375" customWidth="1"/>
    <col min="2" max="2" width="10.41015625" bestFit="1" customWidth="1"/>
    <col min="3" max="3" width="13.87890625" bestFit="1" customWidth="1"/>
    <col min="4" max="4" width="9.64453125" bestFit="1" customWidth="1"/>
    <col min="5" max="5" width="10.41015625" bestFit="1" customWidth="1"/>
    <col min="6" max="6" width="6.234375" customWidth="1"/>
    <col min="7" max="7" width="7.87890625" customWidth="1"/>
    <col min="8" max="8" width="8.1171875" customWidth="1"/>
    <col min="9" max="9" width="8.87890625" customWidth="1"/>
    <col min="10" max="13" width="9.1171875" style="4"/>
    <col min="14" max="14" width="3" customWidth="1"/>
    <col min="15" max="15" width="10.41015625" style="9" bestFit="1" customWidth="1"/>
    <col min="16" max="16" width="13.87890625" style="9" bestFit="1" customWidth="1"/>
    <col min="17" max="17" width="9.64453125" style="9" bestFit="1" customWidth="1"/>
    <col min="18" max="18" width="10.41015625" style="9" bestFit="1" customWidth="1"/>
    <col min="19" max="19" width="6.234375" style="9" customWidth="1"/>
    <col min="20" max="20" width="7.87890625" style="9" customWidth="1"/>
    <col min="21" max="21" width="8.1171875" style="9" customWidth="1"/>
    <col min="22" max="22" width="8.87890625" style="9" customWidth="1"/>
    <col min="23" max="26" width="9.1171875" style="9"/>
    <col min="27" max="27" width="2.87890625" style="9" customWidth="1"/>
    <col min="28" max="28" width="10.87890625" style="9" customWidth="1"/>
    <col min="29" max="29" width="13.52734375" style="9" customWidth="1"/>
    <col min="30" max="30" width="9.1171875" style="9"/>
    <col min="31" max="31" width="10.1171875" style="9" customWidth="1"/>
    <col min="32" max="41" width="9.1171875" style="9"/>
  </cols>
  <sheetData>
    <row r="1" spans="1:39" ht="13" thickBot="1" x14ac:dyDescent="0.45">
      <c r="B1" s="49" t="s">
        <v>100</v>
      </c>
      <c r="O1" s="48"/>
      <c r="AB1" s="48"/>
    </row>
    <row r="2" spans="1:39" x14ac:dyDescent="0.4">
      <c r="B2" s="56" t="s">
        <v>80</v>
      </c>
      <c r="C2" s="362" t="s">
        <v>81</v>
      </c>
      <c r="D2" s="360" t="s">
        <v>70</v>
      </c>
      <c r="E2" s="37"/>
      <c r="F2" s="37"/>
      <c r="G2" s="37"/>
      <c r="H2" s="37"/>
      <c r="I2" s="43"/>
      <c r="J2" s="31"/>
      <c r="K2" s="31"/>
      <c r="M2" s="9"/>
      <c r="N2" s="9"/>
      <c r="O2" s="31"/>
      <c r="P2" s="364"/>
      <c r="Q2" s="364"/>
      <c r="R2" s="31"/>
      <c r="S2" s="31"/>
      <c r="T2" s="31"/>
      <c r="U2" s="31"/>
      <c r="V2" s="31"/>
      <c r="W2" s="31"/>
      <c r="X2" s="31"/>
      <c r="AB2" s="31"/>
      <c r="AC2" s="364"/>
      <c r="AD2" s="364"/>
      <c r="AE2" s="31"/>
      <c r="AF2" s="31"/>
      <c r="AG2" s="31"/>
      <c r="AH2" s="31"/>
      <c r="AI2" s="31"/>
      <c r="AJ2" s="31"/>
      <c r="AK2" s="31"/>
    </row>
    <row r="3" spans="1:39" x14ac:dyDescent="0.4">
      <c r="B3" s="57" t="s">
        <v>82</v>
      </c>
      <c r="C3" s="363"/>
      <c r="D3" s="361"/>
      <c r="E3" s="38" t="s">
        <v>91</v>
      </c>
      <c r="F3" s="38" t="s">
        <v>71</v>
      </c>
      <c r="G3" s="38" t="s">
        <v>72</v>
      </c>
      <c r="H3" s="38" t="s">
        <v>73</v>
      </c>
      <c r="I3" s="44" t="s">
        <v>74</v>
      </c>
      <c r="J3" s="31" t="s">
        <v>107</v>
      </c>
      <c r="K3" s="31" t="s">
        <v>110</v>
      </c>
      <c r="L3" s="22"/>
      <c r="M3" s="9"/>
      <c r="N3" s="9"/>
      <c r="O3" s="31"/>
      <c r="P3" s="364"/>
      <c r="Q3" s="364"/>
      <c r="R3" s="31"/>
      <c r="S3" s="31"/>
      <c r="T3" s="31"/>
      <c r="U3" s="31"/>
      <c r="V3" s="31"/>
      <c r="W3" s="31"/>
      <c r="X3" s="31"/>
      <c r="Y3" s="8"/>
      <c r="AB3" s="31"/>
      <c r="AC3" s="364"/>
      <c r="AD3" s="364"/>
      <c r="AE3" s="31"/>
      <c r="AF3" s="31"/>
      <c r="AG3" s="31"/>
      <c r="AH3" s="31"/>
      <c r="AI3" s="31"/>
      <c r="AJ3" s="31"/>
      <c r="AK3" s="31"/>
      <c r="AL3" s="8"/>
    </row>
    <row r="4" spans="1:39" x14ac:dyDescent="0.4">
      <c r="A4" s="58" t="e">
        <f>B4^2</f>
        <v>#VALUE!</v>
      </c>
      <c r="B4" s="41" t="str">
        <f>IF(ISNUMBER(' Dose-Response Worksheet 1'!#REF!),1, "")</f>
        <v/>
      </c>
      <c r="C4" s="52" t="str">
        <f>IF(ISNUMBER(' Dose-Response Worksheet 1'!#REF!),' Dose-Response Worksheet 1'!#REF!,"")</f>
        <v/>
      </c>
      <c r="D4" s="39" t="e">
        <f>IF(' Dose-Response Worksheet 1'!#REF!&lt;&gt;"",(B$4-' Dose-Response Worksheet 1'!#REF!)^2,"N/A")</f>
        <v>#REF!</v>
      </c>
      <c r="E4" s="39" t="e">
        <f>IF(' Dose-Response Worksheet 1'!#REF!&lt;&gt;"",(B$4*' Dose-Response Worksheet 1'!#REF!)+' Dose-Response Worksheet 1'!#REF!,"N/A")</f>
        <v>#REF!</v>
      </c>
      <c r="F4" s="40" t="e">
        <f>IF(' Dose-Response Worksheet 1'!#REF!&lt;&gt;"",TINV(0.05,' Dose-Response Worksheet 1'!#REF!)*' Dose-Response Worksheet 1'!#REF!*SQRT(1/' Dose-Response Worksheet 1'!#REF!+D4/' Dose-Response Worksheet 1'!#REF!),"N/A")</f>
        <v>#REF!</v>
      </c>
      <c r="G4" s="39" t="e">
        <f>IF(' Dose-Response Worksheet 1'!#REF!="",NA(),E4-F4)</f>
        <v>#REF!</v>
      </c>
      <c r="H4" s="39" t="e">
        <f>IF(' Dose-Response Worksheet 1'!#REF!="",NA(),E4+F4)</f>
        <v>#REF!</v>
      </c>
      <c r="I4" s="55" t="e">
        <f>IF(' Dose-Response Worksheet 1'!#REF!&lt;&gt;"",(C4-E4)^2,"N/A")</f>
        <v>#REF!</v>
      </c>
      <c r="J4" s="32" t="e">
        <f>(C4-$C$29)^2</f>
        <v>#VALUE!</v>
      </c>
      <c r="K4" s="32" t="e">
        <f>(E4-$C$29)^2</f>
        <v>#REF!</v>
      </c>
      <c r="L4" s="32"/>
      <c r="M4" s="32"/>
      <c r="O4" s="61"/>
      <c r="P4" s="30"/>
      <c r="Q4" s="7"/>
      <c r="R4" s="7"/>
      <c r="S4" s="11"/>
      <c r="T4" s="7"/>
      <c r="U4" s="7"/>
      <c r="V4" s="33"/>
      <c r="W4" s="8"/>
      <c r="X4" s="32"/>
      <c r="Y4" s="32"/>
      <c r="Z4" s="32"/>
      <c r="AB4" s="61"/>
      <c r="AC4" s="30"/>
      <c r="AD4" s="7"/>
      <c r="AE4" s="7"/>
      <c r="AF4" s="11"/>
      <c r="AG4" s="7"/>
      <c r="AH4" s="7"/>
      <c r="AI4" s="33"/>
      <c r="AJ4" s="8"/>
      <c r="AK4" s="32"/>
      <c r="AL4" s="32"/>
      <c r="AM4" s="32"/>
    </row>
    <row r="5" spans="1:39" x14ac:dyDescent="0.4">
      <c r="A5" s="58" t="e">
        <f t="shared" ref="A5:A28" si="0">B5^2</f>
        <v>#VALUE!</v>
      </c>
      <c r="B5" s="41" t="str">
        <f>IF(ISNUMBER(' Dose-Response Worksheet 1'!#REF!),1, "")</f>
        <v/>
      </c>
      <c r="C5" s="52" t="str">
        <f>IF(ISNUMBER(' Dose-Response Worksheet 1'!#REF!),' Dose-Response Worksheet 1'!#REF!,"")</f>
        <v/>
      </c>
      <c r="D5" s="39" t="e">
        <f>IF(' Dose-Response Worksheet 1'!#REF!&lt;&gt;"",(B$5-' Dose-Response Worksheet 1'!#REF!)^2,"N/A")</f>
        <v>#REF!</v>
      </c>
      <c r="E5" s="39" t="e">
        <f>IF(' Dose-Response Worksheet 1'!#REF!&lt;&gt;"",(B$5*' Dose-Response Worksheet 1'!#REF!)+' Dose-Response Worksheet 1'!#REF!,"N/A")</f>
        <v>#REF!</v>
      </c>
      <c r="F5" s="40" t="e">
        <f>IF(' Dose-Response Worksheet 1'!#REF!&lt;&gt;"",TINV(0.05,' Dose-Response Worksheet 1'!#REF!)*' Dose-Response Worksheet 1'!#REF!*SQRT(1/' Dose-Response Worksheet 1'!#REF!+D5/' Dose-Response Worksheet 1'!#REF!),"N/A")</f>
        <v>#REF!</v>
      </c>
      <c r="G5" s="39" t="e">
        <f>IF(' Dose-Response Worksheet 1'!#REF!="",NA(),E5-F5)</f>
        <v>#REF!</v>
      </c>
      <c r="H5" s="39" t="e">
        <f>IF(' Dose-Response Worksheet 1'!#REF!="",NA(),E5+F5)</f>
        <v>#REF!</v>
      </c>
      <c r="I5" s="55" t="e">
        <f>IF(' Dose-Response Worksheet 1'!#REF!&lt;&gt;"",(C5-E5)^2,"N/A")</f>
        <v>#REF!</v>
      </c>
      <c r="J5" s="32" t="e">
        <f t="shared" ref="J5:J28" si="1">(C5-$C$29)^2</f>
        <v>#VALUE!</v>
      </c>
      <c r="K5" s="32" t="e">
        <f t="shared" ref="K5:K28" si="2">(E5-$C$29)^2</f>
        <v>#REF!</v>
      </c>
      <c r="L5" s="32"/>
      <c r="M5" s="32"/>
      <c r="O5" s="61"/>
      <c r="P5" s="30"/>
      <c r="Q5" s="7"/>
      <c r="R5" s="7"/>
      <c r="S5" s="11"/>
      <c r="T5" s="7"/>
      <c r="U5" s="7"/>
      <c r="V5" s="33"/>
      <c r="W5" s="8"/>
      <c r="X5" s="32"/>
      <c r="Y5" s="32"/>
      <c r="Z5" s="32"/>
      <c r="AB5" s="61"/>
      <c r="AC5" s="30"/>
      <c r="AD5" s="7"/>
      <c r="AE5" s="7"/>
      <c r="AF5" s="11"/>
      <c r="AG5" s="7"/>
      <c r="AH5" s="7"/>
      <c r="AI5" s="33"/>
      <c r="AJ5" s="8"/>
      <c r="AK5" s="32"/>
      <c r="AL5" s="32"/>
      <c r="AM5" s="32"/>
    </row>
    <row r="6" spans="1:39" x14ac:dyDescent="0.4">
      <c r="A6" s="58" t="e">
        <f t="shared" si="0"/>
        <v>#VALUE!</v>
      </c>
      <c r="B6" s="41" t="str">
        <f>IF(ISNUMBER(' Dose-Response Worksheet 1'!#REF!),1, "")</f>
        <v/>
      </c>
      <c r="C6" s="52" t="str">
        <f>IF(ISNUMBER(' Dose-Response Worksheet 1'!#REF!),' Dose-Response Worksheet 1'!#REF!,"")</f>
        <v/>
      </c>
      <c r="D6" s="39" t="e">
        <f>IF(' Dose-Response Worksheet 1'!#REF!&lt;&gt;"",(B$6-' Dose-Response Worksheet 1'!#REF!)^2,"N/A")</f>
        <v>#REF!</v>
      </c>
      <c r="E6" s="39" t="e">
        <f>IF(' Dose-Response Worksheet 1'!#REF!&lt;&gt;"",(B$6*' Dose-Response Worksheet 1'!#REF!)+' Dose-Response Worksheet 1'!#REF!,"N/A")</f>
        <v>#REF!</v>
      </c>
      <c r="F6" s="40" t="e">
        <f>IF(' Dose-Response Worksheet 1'!#REF!&lt;&gt;"",TINV(0.05,' Dose-Response Worksheet 1'!#REF!)*' Dose-Response Worksheet 1'!#REF!*SQRT(1/' Dose-Response Worksheet 1'!#REF!+D6/' Dose-Response Worksheet 1'!#REF!),"N/A")</f>
        <v>#REF!</v>
      </c>
      <c r="G6" s="39" t="e">
        <f>IF(' Dose-Response Worksheet 1'!#REF!="",NA(),E6-F6)</f>
        <v>#REF!</v>
      </c>
      <c r="H6" s="39" t="e">
        <f>IF(' Dose-Response Worksheet 1'!#REF!="",NA(),E6+F6)</f>
        <v>#REF!</v>
      </c>
      <c r="I6" s="55" t="e">
        <f>IF(' Dose-Response Worksheet 1'!#REF!&lt;&gt;"",(C6-E6)^2,"N/A")</f>
        <v>#REF!</v>
      </c>
      <c r="J6" s="32" t="e">
        <f t="shared" si="1"/>
        <v>#VALUE!</v>
      </c>
      <c r="K6" s="32" t="e">
        <f t="shared" si="2"/>
        <v>#REF!</v>
      </c>
      <c r="L6" s="32"/>
      <c r="M6" s="32"/>
      <c r="O6" s="61"/>
      <c r="P6" s="30"/>
      <c r="Q6" s="7"/>
      <c r="R6" s="7"/>
      <c r="S6" s="11"/>
      <c r="T6" s="7"/>
      <c r="U6" s="7"/>
      <c r="V6" s="33"/>
      <c r="W6" s="8"/>
      <c r="X6" s="32"/>
      <c r="Y6" s="32"/>
      <c r="Z6" s="32"/>
      <c r="AB6" s="61"/>
      <c r="AC6" s="30"/>
      <c r="AD6" s="7"/>
      <c r="AE6" s="7"/>
      <c r="AF6" s="11"/>
      <c r="AG6" s="7"/>
      <c r="AH6" s="7"/>
      <c r="AI6" s="33"/>
      <c r="AJ6" s="8"/>
      <c r="AK6" s="32"/>
      <c r="AL6" s="32"/>
      <c r="AM6" s="32"/>
    </row>
    <row r="7" spans="1:39" x14ac:dyDescent="0.4">
      <c r="A7" s="58" t="e">
        <f t="shared" si="0"/>
        <v>#VALUE!</v>
      </c>
      <c r="B7" s="41" t="str">
        <f>IF(ISNUMBER(' Dose-Response Worksheet 1'!#REF!),1, "")</f>
        <v/>
      </c>
      <c r="C7" s="52" t="str">
        <f>IF(ISNUMBER(' Dose-Response Worksheet 1'!#REF!),' Dose-Response Worksheet 1'!#REF!,"")</f>
        <v/>
      </c>
      <c r="D7" s="39" t="e">
        <f>IF(' Dose-Response Worksheet 1'!#REF!&lt;&gt;"",(B$7-' Dose-Response Worksheet 1'!#REF!)^2,"N/A")</f>
        <v>#REF!</v>
      </c>
      <c r="E7" s="39" t="e">
        <f>IF(' Dose-Response Worksheet 1'!#REF!&lt;&gt;"",(B$7*' Dose-Response Worksheet 1'!#REF!)+' Dose-Response Worksheet 1'!#REF!,"N/A")</f>
        <v>#REF!</v>
      </c>
      <c r="F7" s="40" t="e">
        <f>IF(' Dose-Response Worksheet 1'!#REF!&lt;&gt;"",TINV(0.05,' Dose-Response Worksheet 1'!#REF!)*' Dose-Response Worksheet 1'!#REF!*SQRT(1/' Dose-Response Worksheet 1'!#REF!+D7/' Dose-Response Worksheet 1'!#REF!),"N/A")</f>
        <v>#REF!</v>
      </c>
      <c r="G7" s="39" t="e">
        <f>IF(' Dose-Response Worksheet 1'!#REF!="",NA(),E7-F7)</f>
        <v>#REF!</v>
      </c>
      <c r="H7" s="39" t="e">
        <f>IF(' Dose-Response Worksheet 1'!#REF!="",NA(),E7+F7)</f>
        <v>#REF!</v>
      </c>
      <c r="I7" s="55" t="e">
        <f>IF(' Dose-Response Worksheet 1'!#REF!&lt;&gt;"",(C7-E7)^2,"N/A")</f>
        <v>#REF!</v>
      </c>
      <c r="J7" s="32" t="e">
        <f t="shared" si="1"/>
        <v>#VALUE!</v>
      </c>
      <c r="K7" s="32" t="e">
        <f t="shared" si="2"/>
        <v>#REF!</v>
      </c>
      <c r="L7" s="32"/>
      <c r="M7" s="32"/>
      <c r="O7" s="61"/>
      <c r="P7" s="30"/>
      <c r="Q7" s="7"/>
      <c r="R7" s="7"/>
      <c r="S7" s="11"/>
      <c r="T7" s="7"/>
      <c r="U7" s="7"/>
      <c r="V7" s="33"/>
      <c r="W7" s="8"/>
      <c r="X7" s="32"/>
      <c r="Y7" s="32"/>
      <c r="Z7" s="32"/>
      <c r="AB7" s="61"/>
      <c r="AC7" s="30"/>
      <c r="AD7" s="7"/>
      <c r="AE7" s="7"/>
      <c r="AF7" s="11"/>
      <c r="AG7" s="7"/>
      <c r="AH7" s="7"/>
      <c r="AI7" s="33"/>
      <c r="AJ7" s="8"/>
      <c r="AK7" s="32"/>
      <c r="AL7" s="32"/>
      <c r="AM7" s="32"/>
    </row>
    <row r="8" spans="1:39" x14ac:dyDescent="0.4">
      <c r="A8" s="58" t="e">
        <f t="shared" si="0"/>
        <v>#VALUE!</v>
      </c>
      <c r="B8" s="41" t="str">
        <f>IF(ISNUMBER(' Dose-Response Worksheet 1'!#REF!),1, "")</f>
        <v/>
      </c>
      <c r="C8" s="52" t="str">
        <f>IF(ISNUMBER(' Dose-Response Worksheet 1'!#REF!),' Dose-Response Worksheet 1'!#REF!,"")</f>
        <v/>
      </c>
      <c r="D8" s="39" t="e">
        <f>IF(' Dose-Response Worksheet 1'!#REF!&lt;&gt;"",(B$8-' Dose-Response Worksheet 1'!#REF!)^2,"N/A")</f>
        <v>#REF!</v>
      </c>
      <c r="E8" s="39" t="e">
        <f>IF(' Dose-Response Worksheet 1'!#REF!&lt;&gt;"",(B$8*' Dose-Response Worksheet 1'!#REF!)+' Dose-Response Worksheet 1'!#REF!,"N/A")</f>
        <v>#REF!</v>
      </c>
      <c r="F8" s="40" t="e">
        <f>IF(' Dose-Response Worksheet 1'!#REF!&lt;&gt;"",TINV(0.05,' Dose-Response Worksheet 1'!#REF!)*' Dose-Response Worksheet 1'!#REF!*SQRT(1/' Dose-Response Worksheet 1'!#REF!+D8/' Dose-Response Worksheet 1'!#REF!),"N/A")</f>
        <v>#REF!</v>
      </c>
      <c r="G8" s="39" t="e">
        <f>IF(' Dose-Response Worksheet 1'!#REF!="",NA(),E8-F8)</f>
        <v>#REF!</v>
      </c>
      <c r="H8" s="39" t="e">
        <f>IF(' Dose-Response Worksheet 1'!#REF!="",NA(),E8+F8)</f>
        <v>#REF!</v>
      </c>
      <c r="I8" s="55" t="e">
        <f>IF(' Dose-Response Worksheet 1'!#REF!&lt;&gt;"",(C8-E8)^2,"N/A")</f>
        <v>#REF!</v>
      </c>
      <c r="J8" s="32" t="e">
        <f t="shared" si="1"/>
        <v>#VALUE!</v>
      </c>
      <c r="K8" s="32" t="e">
        <f t="shared" si="2"/>
        <v>#REF!</v>
      </c>
      <c r="L8" s="32"/>
      <c r="M8" s="32"/>
      <c r="O8" s="61"/>
      <c r="P8" s="30"/>
      <c r="Q8" s="7"/>
      <c r="R8" s="7"/>
      <c r="S8" s="11"/>
      <c r="T8" s="7"/>
      <c r="U8" s="7"/>
      <c r="V8" s="33"/>
      <c r="W8" s="8"/>
      <c r="X8" s="32"/>
      <c r="Y8" s="32"/>
      <c r="Z8" s="32"/>
      <c r="AB8" s="61"/>
      <c r="AC8" s="30"/>
      <c r="AD8" s="7"/>
      <c r="AE8" s="7"/>
      <c r="AF8" s="11"/>
      <c r="AG8" s="7"/>
      <c r="AH8" s="7"/>
      <c r="AI8" s="33"/>
      <c r="AJ8" s="8"/>
      <c r="AK8" s="32"/>
      <c r="AL8" s="32"/>
      <c r="AM8" s="32"/>
    </row>
    <row r="9" spans="1:39" x14ac:dyDescent="0.4">
      <c r="A9" s="58" t="e">
        <f t="shared" si="0"/>
        <v>#VALUE!</v>
      </c>
      <c r="B9" s="41" t="str">
        <f>IF(ISNUMBER(' Dose-Response Worksheet 1'!#REF!),2, "")</f>
        <v/>
      </c>
      <c r="C9" s="52" t="str">
        <f>IF(ISNUMBER(' Dose-Response Worksheet 1'!#REF!),' Dose-Response Worksheet 1'!#REF!,"")</f>
        <v/>
      </c>
      <c r="D9" s="39" t="e">
        <f>IF(' Dose-Response Worksheet 1'!#REF!&lt;&gt;"",(B$9-' Dose-Response Worksheet 1'!#REF!)^2,"N/A")</f>
        <v>#REF!</v>
      </c>
      <c r="E9" s="39" t="e">
        <f>IF(' Dose-Response Worksheet 1'!#REF!&lt;&gt;"",(B$9*' Dose-Response Worksheet 1'!#REF!)+' Dose-Response Worksheet 1'!#REF!,"N/A")</f>
        <v>#REF!</v>
      </c>
      <c r="F9" s="40" t="e">
        <f>IF(' Dose-Response Worksheet 1'!#REF!&lt;&gt;"",TINV(0.05,' Dose-Response Worksheet 1'!#REF!)*' Dose-Response Worksheet 1'!#REF!*SQRT(1/' Dose-Response Worksheet 1'!#REF!+D9/' Dose-Response Worksheet 1'!#REF!),"N/A")</f>
        <v>#REF!</v>
      </c>
      <c r="G9" s="39" t="e">
        <f>IF(' Dose-Response Worksheet 1'!#REF!="",NA(),E9-F9)</f>
        <v>#REF!</v>
      </c>
      <c r="H9" s="39" t="e">
        <f>IF(' Dose-Response Worksheet 1'!#REF!="",NA(),E9+F9)</f>
        <v>#REF!</v>
      </c>
      <c r="I9" s="39" t="e">
        <f>IF(' Dose-Response Worksheet 1'!#REF!&lt;&gt;"",(C9-E9)^2,"N/A")</f>
        <v>#REF!</v>
      </c>
      <c r="J9" s="32" t="e">
        <f t="shared" si="1"/>
        <v>#VALUE!</v>
      </c>
      <c r="K9" s="32" t="e">
        <f t="shared" si="2"/>
        <v>#REF!</v>
      </c>
      <c r="L9" s="32"/>
      <c r="M9" s="32"/>
      <c r="O9" s="61"/>
      <c r="P9" s="30"/>
      <c r="Q9" s="7"/>
      <c r="R9" s="7"/>
      <c r="S9" s="11"/>
      <c r="T9" s="7"/>
      <c r="U9" s="7"/>
      <c r="V9" s="33"/>
      <c r="W9" s="8"/>
      <c r="X9" s="32"/>
      <c r="Y9" s="32"/>
      <c r="Z9" s="32"/>
      <c r="AB9" s="61"/>
      <c r="AC9" s="30"/>
      <c r="AD9" s="7"/>
      <c r="AE9" s="7"/>
      <c r="AF9" s="11"/>
      <c r="AG9" s="7"/>
      <c r="AH9" s="7"/>
      <c r="AI9" s="33"/>
      <c r="AJ9" s="8"/>
      <c r="AK9" s="32"/>
      <c r="AL9" s="32"/>
      <c r="AM9" s="32"/>
    </row>
    <row r="10" spans="1:39" x14ac:dyDescent="0.4">
      <c r="A10" s="58" t="e">
        <f t="shared" si="0"/>
        <v>#VALUE!</v>
      </c>
      <c r="B10" s="41" t="str">
        <f>IF(ISNUMBER(' Dose-Response Worksheet 1'!#REF!),2, "")</f>
        <v/>
      </c>
      <c r="C10" s="52" t="str">
        <f>IF(ISNUMBER(' Dose-Response Worksheet 1'!#REF!),' Dose-Response Worksheet 1'!#REF!,"")</f>
        <v/>
      </c>
      <c r="D10" s="39" t="e">
        <f>IF(' Dose-Response Worksheet 1'!#REF!&lt;&gt;"",(B$10-' Dose-Response Worksheet 1'!#REF!)^2,"N/A")</f>
        <v>#REF!</v>
      </c>
      <c r="E10" s="39" t="e">
        <f>IF(' Dose-Response Worksheet 1'!#REF!&lt;&gt;"",(B$10*' Dose-Response Worksheet 1'!#REF!)+' Dose-Response Worksheet 1'!#REF!,"N/A")</f>
        <v>#REF!</v>
      </c>
      <c r="F10" s="40" t="e">
        <f>IF(' Dose-Response Worksheet 1'!#REF!&lt;&gt;"",TINV(0.05,' Dose-Response Worksheet 1'!#REF!)*' Dose-Response Worksheet 1'!#REF!*SQRT(1/' Dose-Response Worksheet 1'!#REF!+D10/' Dose-Response Worksheet 1'!#REF!),"N/A")</f>
        <v>#REF!</v>
      </c>
      <c r="G10" s="39" t="e">
        <f>IF(' Dose-Response Worksheet 1'!#REF!="",NA(),E10-F10)</f>
        <v>#REF!</v>
      </c>
      <c r="H10" s="39" t="e">
        <f>IF(' Dose-Response Worksheet 1'!#REF!&lt;&gt;"",E10+F10,"N/A")</f>
        <v>#REF!</v>
      </c>
      <c r="I10" s="39" t="e">
        <f>IF(' Dose-Response Worksheet 1'!#REF!&lt;&gt;"",(C10-E10)^2,"N/A")</f>
        <v>#REF!</v>
      </c>
      <c r="J10" s="32" t="e">
        <f t="shared" si="1"/>
        <v>#VALUE!</v>
      </c>
      <c r="K10" s="32" t="e">
        <f t="shared" si="2"/>
        <v>#REF!</v>
      </c>
      <c r="L10" s="32"/>
      <c r="M10" s="32"/>
      <c r="O10" s="61"/>
      <c r="P10" s="30"/>
      <c r="Q10" s="7"/>
      <c r="R10" s="7"/>
      <c r="S10" s="11"/>
      <c r="T10" s="7"/>
      <c r="U10" s="7"/>
      <c r="V10" s="33"/>
      <c r="W10" s="8"/>
      <c r="X10" s="32"/>
      <c r="Y10" s="32"/>
      <c r="Z10" s="32"/>
      <c r="AB10" s="61"/>
      <c r="AC10" s="30"/>
      <c r="AD10" s="7"/>
      <c r="AE10" s="7"/>
      <c r="AF10" s="11"/>
      <c r="AG10" s="7"/>
      <c r="AH10" s="7"/>
      <c r="AI10" s="33"/>
      <c r="AJ10" s="8"/>
      <c r="AK10" s="32"/>
      <c r="AL10" s="32"/>
      <c r="AM10" s="32"/>
    </row>
    <row r="11" spans="1:39" x14ac:dyDescent="0.4">
      <c r="A11" s="58" t="e">
        <f t="shared" si="0"/>
        <v>#VALUE!</v>
      </c>
      <c r="B11" s="41" t="str">
        <f>IF(ISNUMBER(' Dose-Response Worksheet 1'!#REF!),2, "")</f>
        <v/>
      </c>
      <c r="C11" s="52" t="str">
        <f>IF(ISNUMBER(' Dose-Response Worksheet 1'!#REF!),' Dose-Response Worksheet 1'!#REF!,"")</f>
        <v/>
      </c>
      <c r="D11" s="39" t="e">
        <f>IF(' Dose-Response Worksheet 1'!#REF!&lt;&gt;"",(B$11-' Dose-Response Worksheet 1'!#REF!)^2,"N/A")</f>
        <v>#REF!</v>
      </c>
      <c r="E11" s="39" t="e">
        <f>IF(' Dose-Response Worksheet 1'!#REF!&lt;&gt;"",(B$11*' Dose-Response Worksheet 1'!#REF!)+' Dose-Response Worksheet 1'!#REF!,"N/A")</f>
        <v>#REF!</v>
      </c>
      <c r="F11" s="40" t="e">
        <f>IF(' Dose-Response Worksheet 1'!#REF!&lt;&gt;"",TINV(0.05,' Dose-Response Worksheet 1'!#REF!)*' Dose-Response Worksheet 1'!#REF!*SQRT(1/' Dose-Response Worksheet 1'!#REF!+D11/' Dose-Response Worksheet 1'!#REF!),"N/A")</f>
        <v>#REF!</v>
      </c>
      <c r="G11" s="39" t="e">
        <f>IF(' Dose-Response Worksheet 1'!#REF!="",NA(),E11-F11)</f>
        <v>#REF!</v>
      </c>
      <c r="H11" s="39" t="e">
        <f>IF(' Dose-Response Worksheet 1'!#REF!&lt;&gt;"",E11+F11,"N/A")</f>
        <v>#REF!</v>
      </c>
      <c r="I11" s="39" t="e">
        <f>IF(' Dose-Response Worksheet 1'!#REF!&lt;&gt;"",(C11-E11)^2,"N/A")</f>
        <v>#REF!</v>
      </c>
      <c r="J11" s="32" t="e">
        <f t="shared" si="1"/>
        <v>#VALUE!</v>
      </c>
      <c r="K11" s="32" t="e">
        <f t="shared" si="2"/>
        <v>#REF!</v>
      </c>
      <c r="L11" s="32"/>
      <c r="M11" s="32"/>
      <c r="O11" s="61"/>
      <c r="P11" s="30"/>
      <c r="Q11" s="7"/>
      <c r="R11" s="7"/>
      <c r="S11" s="11"/>
      <c r="T11" s="7"/>
      <c r="U11" s="7"/>
      <c r="V11" s="33"/>
      <c r="W11" s="8"/>
      <c r="X11" s="32"/>
      <c r="Y11" s="32"/>
      <c r="Z11" s="32"/>
      <c r="AB11" s="61"/>
      <c r="AC11" s="30"/>
      <c r="AD11" s="7"/>
      <c r="AE11" s="7"/>
      <c r="AF11" s="11"/>
      <c r="AG11" s="7"/>
      <c r="AH11" s="7"/>
      <c r="AI11" s="33"/>
      <c r="AJ11" s="8"/>
      <c r="AK11" s="32"/>
      <c r="AL11" s="32"/>
      <c r="AM11" s="32"/>
    </row>
    <row r="12" spans="1:39" x14ac:dyDescent="0.4">
      <c r="A12" s="58" t="e">
        <f t="shared" si="0"/>
        <v>#VALUE!</v>
      </c>
      <c r="B12" s="41" t="str">
        <f>IF(ISNUMBER(' Dose-Response Worksheet 1'!#REF!),2, "")</f>
        <v/>
      </c>
      <c r="C12" s="52" t="str">
        <f>IF(ISNUMBER(' Dose-Response Worksheet 1'!#REF!),' Dose-Response Worksheet 1'!#REF!,"")</f>
        <v/>
      </c>
      <c r="D12" s="39" t="e">
        <f>IF(' Dose-Response Worksheet 1'!#REF!&lt;&gt;"",(B$12-' Dose-Response Worksheet 1'!#REF!)^2,"N/A")</f>
        <v>#REF!</v>
      </c>
      <c r="E12" s="39" t="e">
        <f>IF(' Dose-Response Worksheet 1'!#REF!&lt;&gt;"",(B$12*' Dose-Response Worksheet 1'!#REF!)+' Dose-Response Worksheet 1'!#REF!,"N/A")</f>
        <v>#REF!</v>
      </c>
      <c r="F12" s="40" t="e">
        <f>IF(' Dose-Response Worksheet 1'!#REF!&lt;&gt;"",TINV(0.05,' Dose-Response Worksheet 1'!#REF!)*' Dose-Response Worksheet 1'!#REF!*SQRT(1/' Dose-Response Worksheet 1'!#REF!+D12/' Dose-Response Worksheet 1'!#REF!),"N/A")</f>
        <v>#REF!</v>
      </c>
      <c r="G12" s="39" t="e">
        <f>IF(' Dose-Response Worksheet 1'!#REF!="",NA(),E12-F12)</f>
        <v>#REF!</v>
      </c>
      <c r="H12" s="39" t="e">
        <f>IF(' Dose-Response Worksheet 1'!#REF!&lt;&gt;"",E12+F12,"N/A")</f>
        <v>#REF!</v>
      </c>
      <c r="I12" s="39" t="e">
        <f>IF(' Dose-Response Worksheet 1'!#REF!&lt;&gt;"",(C12-E12)^2,"N/A")</f>
        <v>#REF!</v>
      </c>
      <c r="J12" s="32" t="e">
        <f t="shared" si="1"/>
        <v>#VALUE!</v>
      </c>
      <c r="K12" s="32" t="e">
        <f t="shared" si="2"/>
        <v>#REF!</v>
      </c>
      <c r="L12" s="32"/>
      <c r="M12" s="32"/>
      <c r="O12" s="61"/>
      <c r="P12" s="30"/>
      <c r="Q12" s="7"/>
      <c r="R12" s="7"/>
      <c r="S12" s="11"/>
      <c r="T12" s="7"/>
      <c r="U12" s="7"/>
      <c r="V12" s="33"/>
      <c r="W12" s="8"/>
      <c r="X12" s="32"/>
      <c r="Y12" s="32"/>
      <c r="Z12" s="32"/>
      <c r="AB12" s="61"/>
      <c r="AC12" s="30"/>
      <c r="AD12" s="7"/>
      <c r="AE12" s="7"/>
      <c r="AF12" s="11"/>
      <c r="AG12" s="7"/>
      <c r="AH12" s="7"/>
      <c r="AI12" s="33"/>
      <c r="AJ12" s="8"/>
      <c r="AK12" s="32"/>
      <c r="AL12" s="32"/>
      <c r="AM12" s="32"/>
    </row>
    <row r="13" spans="1:39" x14ac:dyDescent="0.4">
      <c r="A13" s="58" t="e">
        <f t="shared" si="0"/>
        <v>#VALUE!</v>
      </c>
      <c r="B13" s="41" t="str">
        <f>IF(ISNUMBER(' Dose-Response Worksheet 1'!#REF!),2, "")</f>
        <v/>
      </c>
      <c r="C13" s="52" t="str">
        <f>IF(ISNUMBER(' Dose-Response Worksheet 1'!#REF!),' Dose-Response Worksheet 1'!#REF!,"")</f>
        <v/>
      </c>
      <c r="D13" s="39" t="e">
        <f>IF(' Dose-Response Worksheet 1'!#REF!&lt;&gt;"",(B$13-' Dose-Response Worksheet 1'!#REF!)^2,"N/A")</f>
        <v>#REF!</v>
      </c>
      <c r="E13" s="39" t="e">
        <f>IF(' Dose-Response Worksheet 1'!#REF!&lt;&gt;"",(B$13*' Dose-Response Worksheet 1'!#REF!)+' Dose-Response Worksheet 1'!#REF!,"N/A")</f>
        <v>#REF!</v>
      </c>
      <c r="F13" s="40" t="e">
        <f>IF(' Dose-Response Worksheet 1'!#REF!&lt;&gt;"",TINV(0.05,' Dose-Response Worksheet 1'!#REF!)*' Dose-Response Worksheet 1'!#REF!*SQRT(1/' Dose-Response Worksheet 1'!#REF!+D13/' Dose-Response Worksheet 1'!#REF!),"N/A")</f>
        <v>#REF!</v>
      </c>
      <c r="G13" s="39" t="e">
        <f>IF(' Dose-Response Worksheet 1'!#REF!="",NA(),E13-F13)</f>
        <v>#REF!</v>
      </c>
      <c r="H13" s="39" t="e">
        <f>IF(' Dose-Response Worksheet 1'!#REF!&lt;&gt;"",E13+F13,"N/A")</f>
        <v>#REF!</v>
      </c>
      <c r="I13" s="39" t="e">
        <f>IF(' Dose-Response Worksheet 1'!#REF!&lt;&gt;"",(C13-E13)^2,"N/A")</f>
        <v>#REF!</v>
      </c>
      <c r="J13" s="32" t="e">
        <f t="shared" si="1"/>
        <v>#VALUE!</v>
      </c>
      <c r="K13" s="32" t="e">
        <f t="shared" si="2"/>
        <v>#REF!</v>
      </c>
      <c r="L13" s="32"/>
      <c r="M13" s="32"/>
      <c r="O13" s="61"/>
      <c r="P13" s="30"/>
      <c r="Q13" s="7"/>
      <c r="R13" s="7"/>
      <c r="S13" s="11"/>
      <c r="T13" s="7"/>
      <c r="U13" s="7"/>
      <c r="V13" s="33"/>
      <c r="W13" s="8"/>
      <c r="X13" s="32"/>
      <c r="Y13" s="32"/>
      <c r="Z13" s="32"/>
      <c r="AB13" s="61"/>
      <c r="AC13" s="30"/>
      <c r="AD13" s="7"/>
      <c r="AE13" s="7"/>
      <c r="AF13" s="11"/>
      <c r="AG13" s="7"/>
      <c r="AH13" s="7"/>
      <c r="AI13" s="33"/>
      <c r="AJ13" s="8"/>
      <c r="AK13" s="32"/>
      <c r="AL13" s="32"/>
      <c r="AM13" s="32"/>
    </row>
    <row r="14" spans="1:39" x14ac:dyDescent="0.4">
      <c r="A14" s="58" t="e">
        <f t="shared" si="0"/>
        <v>#VALUE!</v>
      </c>
      <c r="B14" s="41" t="str">
        <f>IF(ISNUMBER(' Dose-Response Worksheet 1'!#REF!),3, "")</f>
        <v/>
      </c>
      <c r="C14" s="52" t="str">
        <f>IF(ISNUMBER(' Dose-Response Worksheet 1'!#REF!),' Dose-Response Worksheet 1'!#REF!,"")</f>
        <v/>
      </c>
      <c r="D14" s="39" t="e">
        <f>IF(' Dose-Response Worksheet 1'!#REF!&lt;&gt;"",(B$14-' Dose-Response Worksheet 1'!#REF!)^2,"N/A")</f>
        <v>#REF!</v>
      </c>
      <c r="E14" s="39" t="e">
        <f>IF(' Dose-Response Worksheet 1'!#REF!&lt;&gt;"",(B$14*' Dose-Response Worksheet 1'!#REF!)+' Dose-Response Worksheet 1'!#REF!,"N/A")</f>
        <v>#REF!</v>
      </c>
      <c r="F14" s="40" t="e">
        <f>IF(' Dose-Response Worksheet 1'!#REF!&lt;&gt;"",TINV(0.05,' Dose-Response Worksheet 1'!#REF!)*' Dose-Response Worksheet 1'!#REF!*SQRT(1/' Dose-Response Worksheet 1'!#REF!+D14/' Dose-Response Worksheet 1'!#REF!),"N/A")</f>
        <v>#REF!</v>
      </c>
      <c r="G14" s="39" t="e">
        <f>IF(' Dose-Response Worksheet 1'!#REF!="",NA(),E14-F14)</f>
        <v>#REF!</v>
      </c>
      <c r="H14" s="39" t="e">
        <f>IF(' Dose-Response Worksheet 1'!#REF!&lt;&gt;"",E14+F14,"N/A")</f>
        <v>#REF!</v>
      </c>
      <c r="I14" s="39" t="e">
        <f>IF(' Dose-Response Worksheet 1'!#REF!&lt;&gt;"",(C14-E14)^2,"N/A")</f>
        <v>#REF!</v>
      </c>
      <c r="J14" s="32" t="e">
        <f t="shared" si="1"/>
        <v>#VALUE!</v>
      </c>
      <c r="K14" s="32" t="e">
        <f t="shared" si="2"/>
        <v>#REF!</v>
      </c>
      <c r="L14" s="32"/>
      <c r="M14" s="32"/>
      <c r="O14" s="61"/>
      <c r="P14" s="30"/>
      <c r="Q14" s="7"/>
      <c r="R14" s="7"/>
      <c r="S14" s="11"/>
      <c r="T14" s="7"/>
      <c r="U14" s="7"/>
      <c r="V14" s="33"/>
      <c r="W14" s="8"/>
      <c r="X14" s="32"/>
      <c r="Y14" s="32"/>
      <c r="Z14" s="32"/>
      <c r="AB14" s="61"/>
      <c r="AC14" s="30"/>
      <c r="AD14" s="7"/>
      <c r="AE14" s="7"/>
      <c r="AF14" s="11"/>
      <c r="AG14" s="7"/>
      <c r="AH14" s="7"/>
      <c r="AI14" s="33"/>
      <c r="AJ14" s="8"/>
      <c r="AK14" s="32"/>
      <c r="AL14" s="32"/>
      <c r="AM14" s="32"/>
    </row>
    <row r="15" spans="1:39" x14ac:dyDescent="0.4">
      <c r="A15" s="58" t="e">
        <f t="shared" si="0"/>
        <v>#VALUE!</v>
      </c>
      <c r="B15" s="41" t="str">
        <f>IF(ISNUMBER(' Dose-Response Worksheet 1'!#REF!),3, "")</f>
        <v/>
      </c>
      <c r="C15" s="52" t="str">
        <f>IF(ISNUMBER(' Dose-Response Worksheet 1'!#REF!),' Dose-Response Worksheet 1'!#REF!,"")</f>
        <v/>
      </c>
      <c r="D15" s="39" t="e">
        <f>IF(' Dose-Response Worksheet 1'!#REF!&lt;&gt;"",(B$15-' Dose-Response Worksheet 1'!#REF!)^2,"N/A")</f>
        <v>#REF!</v>
      </c>
      <c r="E15" s="39" t="e">
        <f>IF(' Dose-Response Worksheet 1'!#REF!&lt;&gt;"",(B$15*' Dose-Response Worksheet 1'!#REF!)+' Dose-Response Worksheet 1'!#REF!,"N/A")</f>
        <v>#REF!</v>
      </c>
      <c r="F15" s="40" t="e">
        <f>IF(' Dose-Response Worksheet 1'!#REF!&lt;&gt;"",TINV(0.05,' Dose-Response Worksheet 1'!#REF!)*' Dose-Response Worksheet 1'!#REF!*SQRT(1/' Dose-Response Worksheet 1'!#REF!+D15/' Dose-Response Worksheet 1'!#REF!),"N/A")</f>
        <v>#REF!</v>
      </c>
      <c r="G15" s="39" t="e">
        <f>IF(' Dose-Response Worksheet 1'!#REF!="",NA(),E15-F15)</f>
        <v>#REF!</v>
      </c>
      <c r="H15" s="39" t="e">
        <f>IF(' Dose-Response Worksheet 1'!#REF!&lt;&gt;"",E15+F15,"N/A")</f>
        <v>#REF!</v>
      </c>
      <c r="I15" s="39" t="e">
        <f>IF(' Dose-Response Worksheet 1'!#REF!&lt;&gt;"",(C15-E15)^2,"N/A")</f>
        <v>#REF!</v>
      </c>
      <c r="J15" s="32" t="e">
        <f t="shared" si="1"/>
        <v>#VALUE!</v>
      </c>
      <c r="K15" s="32" t="e">
        <f t="shared" si="2"/>
        <v>#REF!</v>
      </c>
      <c r="L15" s="32"/>
      <c r="M15" s="32"/>
      <c r="O15" s="61"/>
      <c r="P15" s="30"/>
      <c r="Q15" s="7"/>
      <c r="R15" s="7"/>
      <c r="S15" s="11"/>
      <c r="T15" s="7"/>
      <c r="U15" s="7"/>
      <c r="V15" s="33"/>
      <c r="W15" s="8"/>
      <c r="X15" s="32"/>
      <c r="Y15" s="32"/>
      <c r="Z15" s="32"/>
      <c r="AB15" s="61"/>
      <c r="AC15" s="30"/>
      <c r="AD15" s="7"/>
      <c r="AE15" s="7"/>
      <c r="AF15" s="11"/>
      <c r="AG15" s="7"/>
      <c r="AH15" s="7"/>
      <c r="AI15" s="33"/>
      <c r="AJ15" s="8"/>
      <c r="AK15" s="32"/>
      <c r="AL15" s="32"/>
      <c r="AM15" s="32"/>
    </row>
    <row r="16" spans="1:39" x14ac:dyDescent="0.4">
      <c r="A16" s="58" t="e">
        <f t="shared" si="0"/>
        <v>#VALUE!</v>
      </c>
      <c r="B16" s="41" t="str">
        <f>IF(ISNUMBER(' Dose-Response Worksheet 1'!#REF!),3, "")</f>
        <v/>
      </c>
      <c r="C16" s="52" t="str">
        <f>IF(ISNUMBER(' Dose-Response Worksheet 1'!#REF!),' Dose-Response Worksheet 1'!#REF!,"")</f>
        <v/>
      </c>
      <c r="D16" s="39" t="e">
        <f>IF(' Dose-Response Worksheet 1'!#REF!&lt;&gt;"",(B$16-' Dose-Response Worksheet 1'!#REF!)^2,"N/A")</f>
        <v>#REF!</v>
      </c>
      <c r="E16" s="39" t="e">
        <f>IF(' Dose-Response Worksheet 1'!#REF!&lt;&gt;"",(B$16*' Dose-Response Worksheet 1'!#REF!)+' Dose-Response Worksheet 1'!#REF!,"N/A")</f>
        <v>#REF!</v>
      </c>
      <c r="F16" s="40" t="e">
        <f>IF(' Dose-Response Worksheet 1'!#REF!&lt;&gt;"",TINV(0.05,' Dose-Response Worksheet 1'!#REF!)*' Dose-Response Worksheet 1'!#REF!*SQRT(1/' Dose-Response Worksheet 1'!#REF!+D16/' Dose-Response Worksheet 1'!#REF!),"N/A")</f>
        <v>#REF!</v>
      </c>
      <c r="G16" s="39" t="e">
        <f>IF(' Dose-Response Worksheet 1'!#REF!="",NA(),E16-F16)</f>
        <v>#REF!</v>
      </c>
      <c r="H16" s="39" t="e">
        <f>IF(' Dose-Response Worksheet 1'!#REF!&lt;&gt;"",E16+F16,"N/A")</f>
        <v>#REF!</v>
      </c>
      <c r="I16" s="39" t="e">
        <f>IF(' Dose-Response Worksheet 1'!#REF!&lt;&gt;"",(C16-E16)^2,"N/A")</f>
        <v>#REF!</v>
      </c>
      <c r="J16" s="32" t="e">
        <f t="shared" si="1"/>
        <v>#VALUE!</v>
      </c>
      <c r="K16" s="32" t="e">
        <f t="shared" si="2"/>
        <v>#REF!</v>
      </c>
      <c r="L16" s="32"/>
      <c r="M16" s="32"/>
      <c r="O16" s="61"/>
      <c r="P16" s="30"/>
      <c r="Q16" s="7"/>
      <c r="R16" s="7"/>
      <c r="S16" s="11"/>
      <c r="T16" s="7"/>
      <c r="U16" s="7"/>
      <c r="V16" s="33"/>
      <c r="W16" s="8"/>
      <c r="X16" s="32"/>
      <c r="Y16" s="32"/>
      <c r="Z16" s="32"/>
      <c r="AB16" s="61"/>
      <c r="AC16" s="30"/>
      <c r="AD16" s="7"/>
      <c r="AE16" s="7"/>
      <c r="AF16" s="11"/>
      <c r="AG16" s="7"/>
      <c r="AH16" s="7"/>
      <c r="AI16" s="33"/>
      <c r="AJ16" s="8"/>
      <c r="AK16" s="32"/>
      <c r="AL16" s="32"/>
      <c r="AM16" s="32"/>
    </row>
    <row r="17" spans="1:39" x14ac:dyDescent="0.4">
      <c r="A17" s="58" t="e">
        <f t="shared" si="0"/>
        <v>#VALUE!</v>
      </c>
      <c r="B17" s="41" t="str">
        <f>IF(ISNUMBER(' Dose-Response Worksheet 1'!#REF!),3, "")</f>
        <v/>
      </c>
      <c r="C17" s="52" t="str">
        <f>IF(ISNUMBER(' Dose-Response Worksheet 1'!#REF!),' Dose-Response Worksheet 1'!#REF!,"")</f>
        <v/>
      </c>
      <c r="D17" s="39" t="e">
        <f>IF(' Dose-Response Worksheet 1'!#REF!&lt;&gt;"",(B$17-' Dose-Response Worksheet 1'!#REF!)^2,"N/A")</f>
        <v>#REF!</v>
      </c>
      <c r="E17" s="39" t="e">
        <f>IF(' Dose-Response Worksheet 1'!#REF!&lt;&gt;"",(B$17*' Dose-Response Worksheet 1'!#REF!)+' Dose-Response Worksheet 1'!#REF!,"N/A")</f>
        <v>#REF!</v>
      </c>
      <c r="F17" s="40" t="e">
        <f>IF(' Dose-Response Worksheet 1'!#REF!&lt;&gt;"",TINV(0.05,' Dose-Response Worksheet 1'!#REF!)*' Dose-Response Worksheet 1'!#REF!*SQRT(1/' Dose-Response Worksheet 1'!#REF!+D17/' Dose-Response Worksheet 1'!#REF!),"N/A")</f>
        <v>#REF!</v>
      </c>
      <c r="G17" s="39" t="e">
        <f>IF(' Dose-Response Worksheet 1'!#REF!="",NA(),E17-F17)</f>
        <v>#REF!</v>
      </c>
      <c r="H17" s="39" t="e">
        <f>IF(' Dose-Response Worksheet 1'!#REF!&lt;&gt;"",E17+F17,"N/A")</f>
        <v>#REF!</v>
      </c>
      <c r="I17" s="39" t="e">
        <f>IF(' Dose-Response Worksheet 1'!#REF!&lt;&gt;"",(C17-E17)^2,"N/A")</f>
        <v>#REF!</v>
      </c>
      <c r="J17" s="32" t="e">
        <f t="shared" si="1"/>
        <v>#VALUE!</v>
      </c>
      <c r="K17" s="32" t="e">
        <f t="shared" si="2"/>
        <v>#REF!</v>
      </c>
      <c r="L17" s="32"/>
      <c r="M17" s="32"/>
      <c r="O17" s="61"/>
      <c r="P17" s="30"/>
      <c r="Q17" s="7"/>
      <c r="R17" s="7"/>
      <c r="S17" s="11"/>
      <c r="T17" s="7"/>
      <c r="U17" s="7"/>
      <c r="V17" s="33"/>
      <c r="W17" s="8"/>
      <c r="X17" s="32"/>
      <c r="Y17" s="32"/>
      <c r="Z17" s="32"/>
      <c r="AB17" s="61"/>
      <c r="AC17" s="30"/>
      <c r="AD17" s="7"/>
      <c r="AE17" s="7"/>
      <c r="AF17" s="11"/>
      <c r="AG17" s="7"/>
      <c r="AH17" s="7"/>
      <c r="AI17" s="33"/>
      <c r="AJ17" s="8"/>
      <c r="AK17" s="32"/>
      <c r="AL17" s="32"/>
      <c r="AM17" s="32"/>
    </row>
    <row r="18" spans="1:39" x14ac:dyDescent="0.4">
      <c r="A18" s="58" t="e">
        <f t="shared" si="0"/>
        <v>#VALUE!</v>
      </c>
      <c r="B18" s="41" t="str">
        <f>IF(ISNUMBER(' Dose-Response Worksheet 1'!#REF!),3, "")</f>
        <v/>
      </c>
      <c r="C18" s="52" t="str">
        <f>IF(ISNUMBER(' Dose-Response Worksheet 1'!#REF!),' Dose-Response Worksheet 1'!#REF!,"")</f>
        <v/>
      </c>
      <c r="D18" s="39" t="e">
        <f>IF(' Dose-Response Worksheet 1'!#REF!&lt;&gt;"",(B$18-' Dose-Response Worksheet 1'!#REF!)^2,"N/A")</f>
        <v>#REF!</v>
      </c>
      <c r="E18" s="39" t="e">
        <f>IF(' Dose-Response Worksheet 1'!#REF!&lt;&gt;"",(B$18*' Dose-Response Worksheet 1'!#REF!)+' Dose-Response Worksheet 1'!#REF!,"N/A")</f>
        <v>#REF!</v>
      </c>
      <c r="F18" s="40" t="e">
        <f>IF(' Dose-Response Worksheet 1'!#REF!&lt;&gt;"",TINV(0.05,' Dose-Response Worksheet 1'!#REF!)*' Dose-Response Worksheet 1'!#REF!*SQRT(1/' Dose-Response Worksheet 1'!#REF!+D18/' Dose-Response Worksheet 1'!#REF!),"N/A")</f>
        <v>#REF!</v>
      </c>
      <c r="G18" s="39" t="e">
        <f>IF(' Dose-Response Worksheet 1'!#REF!="",NA(),E18-F18)</f>
        <v>#REF!</v>
      </c>
      <c r="H18" s="39" t="e">
        <f>IF(' Dose-Response Worksheet 1'!#REF!&lt;&gt;"",E18+F18,"N/A")</f>
        <v>#REF!</v>
      </c>
      <c r="I18" s="39" t="e">
        <f>IF(' Dose-Response Worksheet 1'!#REF!&lt;&gt;"",(C18-E18)^2,"N/A")</f>
        <v>#REF!</v>
      </c>
      <c r="J18" s="32" t="e">
        <f t="shared" si="1"/>
        <v>#VALUE!</v>
      </c>
      <c r="K18" s="32" t="e">
        <f t="shared" si="2"/>
        <v>#REF!</v>
      </c>
      <c r="L18" s="32"/>
      <c r="M18" s="32"/>
      <c r="O18" s="61"/>
      <c r="P18" s="30"/>
      <c r="Q18" s="7"/>
      <c r="R18" s="7"/>
      <c r="S18" s="11"/>
      <c r="T18" s="7"/>
      <c r="U18" s="7"/>
      <c r="V18" s="33"/>
      <c r="W18" s="8"/>
      <c r="X18" s="32"/>
      <c r="Y18" s="32"/>
      <c r="Z18" s="32"/>
      <c r="AB18" s="61"/>
      <c r="AC18" s="30"/>
      <c r="AD18" s="7"/>
      <c r="AE18" s="7"/>
      <c r="AF18" s="11"/>
      <c r="AG18" s="7"/>
      <c r="AH18" s="7"/>
      <c r="AI18" s="33"/>
      <c r="AJ18" s="8"/>
      <c r="AK18" s="32"/>
      <c r="AL18" s="32"/>
      <c r="AM18" s="32"/>
    </row>
    <row r="19" spans="1:39" x14ac:dyDescent="0.4">
      <c r="A19" s="58" t="e">
        <f t="shared" si="0"/>
        <v>#VALUE!</v>
      </c>
      <c r="B19" s="41" t="str">
        <f>IF(ISNUMBER(' Dose-Response Worksheet 1'!#REF!),4, "")</f>
        <v/>
      </c>
      <c r="C19" s="52" t="str">
        <f>IF(ISNUMBER(' Dose-Response Worksheet 1'!#REF!),' Dose-Response Worksheet 1'!#REF!,"")</f>
        <v/>
      </c>
      <c r="D19" s="39" t="e">
        <f>IF(' Dose-Response Worksheet 1'!#REF!&lt;&gt;"",(B$19-' Dose-Response Worksheet 1'!#REF!)^2,"N/A")</f>
        <v>#REF!</v>
      </c>
      <c r="E19" s="39" t="e">
        <f>IF(' Dose-Response Worksheet 1'!#REF!&lt;&gt;"",(B$19*' Dose-Response Worksheet 1'!#REF!)+' Dose-Response Worksheet 1'!#REF!,"N/A")</f>
        <v>#REF!</v>
      </c>
      <c r="F19" s="40" t="e">
        <f>IF(' Dose-Response Worksheet 1'!#REF!&lt;&gt;"",TINV(0.05,' Dose-Response Worksheet 1'!#REF!)*' Dose-Response Worksheet 1'!#REF!*SQRT(1/' Dose-Response Worksheet 1'!#REF!+D19/' Dose-Response Worksheet 1'!#REF!),"N/A")</f>
        <v>#REF!</v>
      </c>
      <c r="G19" s="39" t="e">
        <f>IF(' Dose-Response Worksheet 1'!#REF!="",NA(),E19-F19)</f>
        <v>#REF!</v>
      </c>
      <c r="H19" s="39" t="e">
        <f>IF(' Dose-Response Worksheet 1'!#REF!&lt;&gt;"",E19+F19,"N/A")</f>
        <v>#REF!</v>
      </c>
      <c r="I19" s="39" t="e">
        <f>IF(' Dose-Response Worksheet 1'!#REF!&lt;&gt;"",(C19-E19)^2,"N/A")</f>
        <v>#REF!</v>
      </c>
      <c r="J19" s="32" t="e">
        <f t="shared" si="1"/>
        <v>#VALUE!</v>
      </c>
      <c r="K19" s="32" t="e">
        <f t="shared" si="2"/>
        <v>#REF!</v>
      </c>
      <c r="L19" s="32"/>
      <c r="M19" s="32"/>
      <c r="O19" s="61"/>
      <c r="P19" s="30"/>
      <c r="Q19" s="7"/>
      <c r="R19" s="7"/>
      <c r="S19" s="11"/>
      <c r="T19" s="7"/>
      <c r="U19" s="7"/>
      <c r="V19" s="33"/>
      <c r="W19" s="8"/>
      <c r="X19" s="32"/>
      <c r="Y19" s="32"/>
      <c r="Z19" s="32"/>
      <c r="AB19" s="61"/>
      <c r="AC19" s="30"/>
      <c r="AD19" s="7"/>
      <c r="AE19" s="7"/>
      <c r="AF19" s="11"/>
      <c r="AG19" s="7"/>
      <c r="AH19" s="7"/>
      <c r="AI19" s="33"/>
      <c r="AJ19" s="8"/>
      <c r="AK19" s="32"/>
      <c r="AL19" s="32"/>
      <c r="AM19" s="32"/>
    </row>
    <row r="20" spans="1:39" x14ac:dyDescent="0.4">
      <c r="A20" s="58" t="e">
        <f t="shared" si="0"/>
        <v>#VALUE!</v>
      </c>
      <c r="B20" s="41" t="str">
        <f>IF(ISNUMBER(' Dose-Response Worksheet 1'!#REF!),4, "")</f>
        <v/>
      </c>
      <c r="C20" s="52" t="str">
        <f>IF(ISNUMBER(' Dose-Response Worksheet 1'!#REF!),' Dose-Response Worksheet 1'!#REF!,"")</f>
        <v/>
      </c>
      <c r="D20" s="39" t="e">
        <f>IF(' Dose-Response Worksheet 1'!#REF!&lt;&gt;"",(B$20-' Dose-Response Worksheet 1'!#REF!)^2,"N/A")</f>
        <v>#REF!</v>
      </c>
      <c r="E20" s="39" t="e">
        <f>IF(' Dose-Response Worksheet 1'!#REF!&lt;&gt;"",(B$20*' Dose-Response Worksheet 1'!#REF!)+' Dose-Response Worksheet 1'!#REF!,"N/A")</f>
        <v>#REF!</v>
      </c>
      <c r="F20" s="40" t="e">
        <f>IF(' Dose-Response Worksheet 1'!#REF!&lt;&gt;"",TINV(0.05,' Dose-Response Worksheet 1'!#REF!)*' Dose-Response Worksheet 1'!#REF!*SQRT(1/' Dose-Response Worksheet 1'!#REF!+D20/' Dose-Response Worksheet 1'!#REF!),"N/A")</f>
        <v>#REF!</v>
      </c>
      <c r="G20" s="39" t="e">
        <f>IF(' Dose-Response Worksheet 1'!#REF!="",NA(),E20-F20)</f>
        <v>#REF!</v>
      </c>
      <c r="H20" s="39" t="e">
        <f>IF(' Dose-Response Worksheet 1'!#REF!&lt;&gt;"",E20+F20,"N/A")</f>
        <v>#REF!</v>
      </c>
      <c r="I20" s="39" t="e">
        <f>IF(' Dose-Response Worksheet 1'!#REF!&lt;&gt;"",(C20-E20)^2,"N/A")</f>
        <v>#REF!</v>
      </c>
      <c r="J20" s="32" t="e">
        <f t="shared" si="1"/>
        <v>#VALUE!</v>
      </c>
      <c r="K20" s="32" t="e">
        <f t="shared" si="2"/>
        <v>#REF!</v>
      </c>
      <c r="L20" s="32"/>
      <c r="M20" s="32"/>
      <c r="O20" s="61"/>
      <c r="P20" s="30"/>
      <c r="Q20" s="7"/>
      <c r="R20" s="7"/>
      <c r="S20" s="11"/>
      <c r="T20" s="7"/>
      <c r="U20" s="7"/>
      <c r="V20" s="33"/>
      <c r="W20" s="8"/>
      <c r="X20" s="32"/>
      <c r="Y20" s="32"/>
      <c r="Z20" s="32"/>
      <c r="AB20" s="61"/>
      <c r="AC20" s="30"/>
      <c r="AD20" s="7"/>
      <c r="AE20" s="7"/>
      <c r="AF20" s="11"/>
      <c r="AG20" s="7"/>
      <c r="AH20" s="7"/>
      <c r="AI20" s="33"/>
      <c r="AJ20" s="8"/>
      <c r="AK20" s="32"/>
      <c r="AL20" s="32"/>
      <c r="AM20" s="32"/>
    </row>
    <row r="21" spans="1:39" x14ac:dyDescent="0.4">
      <c r="A21" s="58" t="e">
        <f t="shared" si="0"/>
        <v>#VALUE!</v>
      </c>
      <c r="B21" s="41" t="str">
        <f>IF(ISNUMBER(' Dose-Response Worksheet 1'!#REF!),4, "")</f>
        <v/>
      </c>
      <c r="C21" s="52" t="str">
        <f>IF(ISNUMBER(' Dose-Response Worksheet 1'!#REF!),' Dose-Response Worksheet 1'!#REF!,"")</f>
        <v/>
      </c>
      <c r="D21" s="39" t="e">
        <f>IF(' Dose-Response Worksheet 1'!#REF!&lt;&gt;"",(B$21-' Dose-Response Worksheet 1'!#REF!)^2,"N/A")</f>
        <v>#REF!</v>
      </c>
      <c r="E21" s="39" t="e">
        <f>IF(' Dose-Response Worksheet 1'!#REF!&lt;&gt;"",(B$21*' Dose-Response Worksheet 1'!#REF!)+' Dose-Response Worksheet 1'!#REF!,"N/A")</f>
        <v>#REF!</v>
      </c>
      <c r="F21" s="40" t="e">
        <f>IF(' Dose-Response Worksheet 1'!#REF!&lt;&gt;"",TINV(0.05,' Dose-Response Worksheet 1'!#REF!)*' Dose-Response Worksheet 1'!#REF!*SQRT(1/' Dose-Response Worksheet 1'!#REF!+D21/' Dose-Response Worksheet 1'!#REF!),"N/A")</f>
        <v>#REF!</v>
      </c>
      <c r="G21" s="39" t="e">
        <f>IF(' Dose-Response Worksheet 1'!#REF!="",NA(),E21-F21)</f>
        <v>#REF!</v>
      </c>
      <c r="H21" s="39" t="e">
        <f>IF(' Dose-Response Worksheet 1'!#REF!&lt;&gt;"",E21+F21,"N/A")</f>
        <v>#REF!</v>
      </c>
      <c r="I21" s="39" t="e">
        <f>IF(' Dose-Response Worksheet 1'!#REF!&lt;&gt;"",(C21-E21)^2,"N/A")</f>
        <v>#REF!</v>
      </c>
      <c r="J21" s="32" t="e">
        <f t="shared" si="1"/>
        <v>#VALUE!</v>
      </c>
      <c r="K21" s="32" t="e">
        <f t="shared" si="2"/>
        <v>#REF!</v>
      </c>
      <c r="L21" s="32"/>
      <c r="M21" s="32"/>
      <c r="O21" s="61"/>
      <c r="P21" s="30"/>
      <c r="Q21" s="7"/>
      <c r="R21" s="7"/>
      <c r="S21" s="11"/>
      <c r="T21" s="7"/>
      <c r="U21" s="7"/>
      <c r="V21" s="33"/>
      <c r="W21" s="8"/>
      <c r="X21" s="32"/>
      <c r="Y21" s="32"/>
      <c r="Z21" s="32"/>
      <c r="AB21" s="61"/>
      <c r="AC21" s="30"/>
      <c r="AD21" s="7"/>
      <c r="AE21" s="7"/>
      <c r="AF21" s="11"/>
      <c r="AG21" s="7"/>
      <c r="AH21" s="7"/>
      <c r="AI21" s="33"/>
      <c r="AJ21" s="8"/>
      <c r="AK21" s="32"/>
      <c r="AL21" s="32"/>
      <c r="AM21" s="32"/>
    </row>
    <row r="22" spans="1:39" x14ac:dyDescent="0.4">
      <c r="A22" s="58" t="e">
        <f t="shared" si="0"/>
        <v>#VALUE!</v>
      </c>
      <c r="B22" s="41" t="str">
        <f>IF(ISNUMBER(' Dose-Response Worksheet 1'!#REF!),4, "")</f>
        <v/>
      </c>
      <c r="C22" s="52" t="str">
        <f>IF(ISNUMBER(' Dose-Response Worksheet 1'!#REF!),' Dose-Response Worksheet 1'!#REF!,"")</f>
        <v/>
      </c>
      <c r="D22" s="39" t="e">
        <f>IF(' Dose-Response Worksheet 1'!#REF!&lt;&gt;"",(B$22-' Dose-Response Worksheet 1'!#REF!)^2,"N/A")</f>
        <v>#REF!</v>
      </c>
      <c r="E22" s="39" t="e">
        <f>IF(' Dose-Response Worksheet 1'!#REF!&lt;&gt;"",(B$22*' Dose-Response Worksheet 1'!#REF!)+' Dose-Response Worksheet 1'!#REF!,"N/A")</f>
        <v>#REF!</v>
      </c>
      <c r="F22" s="40" t="e">
        <f>IF(' Dose-Response Worksheet 1'!#REF!&lt;&gt;"",TINV(0.05,' Dose-Response Worksheet 1'!#REF!)*' Dose-Response Worksheet 1'!#REF!*SQRT(1/' Dose-Response Worksheet 1'!#REF!+D22/' Dose-Response Worksheet 1'!#REF!),"N/A")</f>
        <v>#REF!</v>
      </c>
      <c r="G22" s="39" t="e">
        <f>IF(' Dose-Response Worksheet 1'!#REF!="",NA(),E22-F22)</f>
        <v>#REF!</v>
      </c>
      <c r="H22" s="39" t="e">
        <f>IF(' Dose-Response Worksheet 1'!#REF!&lt;&gt;"",E22+F22,"N/A")</f>
        <v>#REF!</v>
      </c>
      <c r="I22" s="39" t="e">
        <f>IF(' Dose-Response Worksheet 1'!#REF!&lt;&gt;"",(C22-E22)^2,"N/A")</f>
        <v>#REF!</v>
      </c>
      <c r="J22" s="32" t="e">
        <f t="shared" si="1"/>
        <v>#VALUE!</v>
      </c>
      <c r="K22" s="32" t="e">
        <f t="shared" si="2"/>
        <v>#REF!</v>
      </c>
      <c r="L22" s="32"/>
      <c r="M22" s="32"/>
      <c r="O22" s="61"/>
      <c r="P22" s="30"/>
      <c r="Q22" s="7"/>
      <c r="R22" s="7"/>
      <c r="S22" s="11"/>
      <c r="T22" s="7"/>
      <c r="U22" s="7"/>
      <c r="V22" s="33"/>
      <c r="W22" s="8"/>
      <c r="X22" s="32"/>
      <c r="Y22" s="32"/>
      <c r="Z22" s="32"/>
      <c r="AB22" s="61"/>
      <c r="AC22" s="30"/>
      <c r="AD22" s="7"/>
      <c r="AE22" s="7"/>
      <c r="AF22" s="11"/>
      <c r="AG22" s="7"/>
      <c r="AH22" s="7"/>
      <c r="AI22" s="33"/>
      <c r="AJ22" s="8"/>
      <c r="AK22" s="32"/>
      <c r="AL22" s="32"/>
      <c r="AM22" s="32"/>
    </row>
    <row r="23" spans="1:39" x14ac:dyDescent="0.4">
      <c r="A23" s="58" t="e">
        <f t="shared" si="0"/>
        <v>#VALUE!</v>
      </c>
      <c r="B23" s="41" t="str">
        <f>IF(ISNUMBER(' Dose-Response Worksheet 1'!#REF!),4, "")</f>
        <v/>
      </c>
      <c r="C23" s="52" t="str">
        <f>IF(ISNUMBER(' Dose-Response Worksheet 1'!#REF!),' Dose-Response Worksheet 1'!#REF!,"")</f>
        <v/>
      </c>
      <c r="D23" s="39" t="e">
        <f>IF(' Dose-Response Worksheet 1'!#REF!&lt;&gt;"",(B$23-' Dose-Response Worksheet 1'!#REF!)^2,"N/A")</f>
        <v>#REF!</v>
      </c>
      <c r="E23" s="39" t="e">
        <f>IF(' Dose-Response Worksheet 1'!#REF!&lt;&gt;"",(B$23*' Dose-Response Worksheet 1'!#REF!)+' Dose-Response Worksheet 1'!#REF!,"N/A")</f>
        <v>#REF!</v>
      </c>
      <c r="F23" s="40" t="e">
        <f>IF(' Dose-Response Worksheet 1'!#REF!&lt;&gt;"",TINV(0.05,' Dose-Response Worksheet 1'!#REF!)*' Dose-Response Worksheet 1'!#REF!*SQRT(1/' Dose-Response Worksheet 1'!#REF!+D23/' Dose-Response Worksheet 1'!#REF!),"N/A")</f>
        <v>#REF!</v>
      </c>
      <c r="G23" s="39" t="e">
        <f>IF(' Dose-Response Worksheet 1'!#REF!="",NA(),E23-F23)</f>
        <v>#REF!</v>
      </c>
      <c r="H23" s="39" t="e">
        <f>IF(' Dose-Response Worksheet 1'!#REF!&lt;&gt;"",E23+F23,"N/A")</f>
        <v>#REF!</v>
      </c>
      <c r="I23" s="39" t="e">
        <f>IF(' Dose-Response Worksheet 1'!#REF!&lt;&gt;"",(C23-E23)^2,"N/A")</f>
        <v>#REF!</v>
      </c>
      <c r="J23" s="32" t="e">
        <f t="shared" si="1"/>
        <v>#VALUE!</v>
      </c>
      <c r="K23" s="32" t="e">
        <f t="shared" si="2"/>
        <v>#REF!</v>
      </c>
      <c r="L23" s="32"/>
      <c r="M23" s="32"/>
      <c r="O23" s="61"/>
      <c r="P23" s="30"/>
      <c r="Q23" s="7"/>
      <c r="R23" s="7"/>
      <c r="S23" s="11"/>
      <c r="T23" s="7"/>
      <c r="U23" s="7"/>
      <c r="V23" s="33"/>
      <c r="W23" s="8"/>
      <c r="X23" s="32"/>
      <c r="Y23" s="32"/>
      <c r="Z23" s="32"/>
      <c r="AB23" s="61"/>
      <c r="AC23" s="30"/>
      <c r="AD23" s="7"/>
      <c r="AE23" s="7"/>
      <c r="AF23" s="11"/>
      <c r="AG23" s="7"/>
      <c r="AH23" s="7"/>
      <c r="AI23" s="33"/>
      <c r="AJ23" s="8"/>
      <c r="AK23" s="32"/>
      <c r="AL23" s="32"/>
      <c r="AM23" s="32"/>
    </row>
    <row r="24" spans="1:39" x14ac:dyDescent="0.4">
      <c r="A24" s="58" t="e">
        <f t="shared" si="0"/>
        <v>#VALUE!</v>
      </c>
      <c r="B24" s="41" t="str">
        <f>IF(ISNUMBER(' Dose-Response Worksheet 1'!#REF!),5, "")</f>
        <v/>
      </c>
      <c r="C24" s="52" t="str">
        <f>IF(ISNUMBER(' Dose-Response Worksheet 1'!#REF!),' Dose-Response Worksheet 1'!#REF!,"")</f>
        <v/>
      </c>
      <c r="D24" s="39" t="e">
        <f>IF(' Dose-Response Worksheet 1'!#REF!&lt;&gt;"",(B$24-' Dose-Response Worksheet 1'!#REF!)^2,"N/A")</f>
        <v>#REF!</v>
      </c>
      <c r="E24" s="39" t="e">
        <f>IF(' Dose-Response Worksheet 1'!#REF!&lt;&gt;"",(B$24*' Dose-Response Worksheet 1'!#REF!)+' Dose-Response Worksheet 1'!#REF!,"N/A")</f>
        <v>#REF!</v>
      </c>
      <c r="F24" s="40" t="e">
        <f>IF(' Dose-Response Worksheet 1'!#REF!&lt;&gt;"",TINV(0.05,' Dose-Response Worksheet 1'!#REF!)*' Dose-Response Worksheet 1'!#REF!*SQRT(1/' Dose-Response Worksheet 1'!#REF!+D24/' Dose-Response Worksheet 1'!#REF!),"N/A")</f>
        <v>#REF!</v>
      </c>
      <c r="G24" s="39" t="e">
        <f>IF(' Dose-Response Worksheet 1'!#REF!="",NA(),E24-F24)</f>
        <v>#REF!</v>
      </c>
      <c r="H24" s="39" t="e">
        <f>IF(' Dose-Response Worksheet 1'!#REF!&lt;&gt;"",E24+F24,"N/A")</f>
        <v>#REF!</v>
      </c>
      <c r="I24" s="39" t="e">
        <f>IF(' Dose-Response Worksheet 1'!#REF!&lt;&gt;"",(C24-E24)^2,"N/A")</f>
        <v>#REF!</v>
      </c>
      <c r="J24" s="32" t="e">
        <f t="shared" si="1"/>
        <v>#VALUE!</v>
      </c>
      <c r="K24" s="32" t="e">
        <f t="shared" si="2"/>
        <v>#REF!</v>
      </c>
      <c r="L24" s="32"/>
      <c r="M24" s="32"/>
      <c r="O24" s="61"/>
      <c r="P24" s="30"/>
      <c r="Q24" s="7"/>
      <c r="R24" s="7"/>
      <c r="S24" s="11"/>
      <c r="T24" s="7"/>
      <c r="U24" s="7"/>
      <c r="V24" s="33"/>
      <c r="W24" s="8"/>
      <c r="X24" s="32"/>
      <c r="Y24" s="32"/>
      <c r="Z24" s="32"/>
      <c r="AB24" s="61"/>
      <c r="AC24" s="30"/>
      <c r="AD24" s="7"/>
      <c r="AE24" s="7"/>
      <c r="AF24" s="11"/>
      <c r="AG24" s="7"/>
      <c r="AH24" s="7"/>
      <c r="AI24" s="33"/>
      <c r="AJ24" s="8"/>
      <c r="AK24" s="32"/>
      <c r="AL24" s="32"/>
      <c r="AM24" s="32"/>
    </row>
    <row r="25" spans="1:39" x14ac:dyDescent="0.4">
      <c r="A25" s="58" t="e">
        <f t="shared" si="0"/>
        <v>#VALUE!</v>
      </c>
      <c r="B25" s="41" t="str">
        <f>IF(ISNUMBER(' Dose-Response Worksheet 1'!#REF!),5, "")</f>
        <v/>
      </c>
      <c r="C25" s="52" t="str">
        <f>IF(ISNUMBER(' Dose-Response Worksheet 1'!#REF!),' Dose-Response Worksheet 1'!#REF!,"")</f>
        <v/>
      </c>
      <c r="D25" s="39" t="e">
        <f>IF(' Dose-Response Worksheet 1'!#REF!&lt;&gt;"",(B$25-' Dose-Response Worksheet 1'!#REF!)^2,"N/A")</f>
        <v>#REF!</v>
      </c>
      <c r="E25" s="39" t="e">
        <f>IF(' Dose-Response Worksheet 1'!#REF!&lt;&gt;"",(B$25*' Dose-Response Worksheet 1'!#REF!)+' Dose-Response Worksheet 1'!#REF!,"N/A")</f>
        <v>#REF!</v>
      </c>
      <c r="F25" s="40" t="e">
        <f>IF(' Dose-Response Worksheet 1'!#REF!&lt;&gt;"",TINV(0.05,' Dose-Response Worksheet 1'!#REF!)*' Dose-Response Worksheet 1'!#REF!*SQRT(1/' Dose-Response Worksheet 1'!#REF!+D25/' Dose-Response Worksheet 1'!#REF!),"N/A")</f>
        <v>#REF!</v>
      </c>
      <c r="G25" s="39" t="e">
        <f>IF(' Dose-Response Worksheet 1'!#REF!="",NA(),E25-F25)</f>
        <v>#REF!</v>
      </c>
      <c r="H25" s="39" t="e">
        <f>IF(' Dose-Response Worksheet 1'!#REF!&lt;&gt;"",E25+F25,"N/A")</f>
        <v>#REF!</v>
      </c>
      <c r="I25" s="39" t="e">
        <f>IF(' Dose-Response Worksheet 1'!#REF!&lt;&gt;"",(C25-E25)^2,"N/A")</f>
        <v>#REF!</v>
      </c>
      <c r="J25" s="32" t="e">
        <f t="shared" si="1"/>
        <v>#VALUE!</v>
      </c>
      <c r="K25" s="32" t="e">
        <f t="shared" si="2"/>
        <v>#REF!</v>
      </c>
      <c r="L25" s="32"/>
      <c r="M25" s="32"/>
      <c r="O25" s="61"/>
      <c r="P25" s="30"/>
      <c r="Q25" s="7"/>
      <c r="R25" s="7"/>
      <c r="S25" s="11"/>
      <c r="T25" s="7"/>
      <c r="U25" s="7"/>
      <c r="V25" s="33"/>
      <c r="W25" s="8"/>
      <c r="X25" s="32"/>
      <c r="Y25" s="32"/>
      <c r="Z25" s="32"/>
      <c r="AB25" s="61"/>
      <c r="AC25" s="30"/>
      <c r="AD25" s="7"/>
      <c r="AE25" s="7"/>
      <c r="AF25" s="11"/>
      <c r="AG25" s="7"/>
      <c r="AH25" s="7"/>
      <c r="AI25" s="33"/>
      <c r="AJ25" s="8"/>
      <c r="AK25" s="32"/>
      <c r="AL25" s="32"/>
      <c r="AM25" s="32"/>
    </row>
    <row r="26" spans="1:39" x14ac:dyDescent="0.4">
      <c r="A26" s="58" t="e">
        <f t="shared" si="0"/>
        <v>#VALUE!</v>
      </c>
      <c r="B26" s="41" t="str">
        <f>IF(ISNUMBER(' Dose-Response Worksheet 1'!#REF!),5, "")</f>
        <v/>
      </c>
      <c r="C26" s="52" t="str">
        <f>IF(ISNUMBER(' Dose-Response Worksheet 1'!#REF!),' Dose-Response Worksheet 1'!#REF!,"")</f>
        <v/>
      </c>
      <c r="D26" s="39" t="e">
        <f>IF(' Dose-Response Worksheet 1'!#REF!&lt;&gt;"",(B$26-' Dose-Response Worksheet 1'!#REF!)^2,"N/A")</f>
        <v>#REF!</v>
      </c>
      <c r="E26" s="39" t="e">
        <f>IF(' Dose-Response Worksheet 1'!#REF!&lt;&gt;"",(B$26*' Dose-Response Worksheet 1'!#REF!)+' Dose-Response Worksheet 1'!#REF!,"N/A")</f>
        <v>#REF!</v>
      </c>
      <c r="F26" s="40" t="e">
        <f>IF(' Dose-Response Worksheet 1'!#REF!&lt;&gt;"",TINV(0.05,' Dose-Response Worksheet 1'!#REF!)*' Dose-Response Worksheet 1'!#REF!*SQRT(1/' Dose-Response Worksheet 1'!#REF!+D26/' Dose-Response Worksheet 1'!#REF!),"N/A")</f>
        <v>#REF!</v>
      </c>
      <c r="G26" s="39" t="e">
        <f>IF(' Dose-Response Worksheet 1'!#REF!="",NA(),E26-F26)</f>
        <v>#REF!</v>
      </c>
      <c r="H26" s="39" t="e">
        <f>IF(' Dose-Response Worksheet 1'!#REF!&lt;&gt;"",E26+F26,"N/A")</f>
        <v>#REF!</v>
      </c>
      <c r="I26" s="39" t="e">
        <f>IF(' Dose-Response Worksheet 1'!#REF!&lt;&gt;"",(C26-E26)^2,"N/A")</f>
        <v>#REF!</v>
      </c>
      <c r="J26" s="32" t="e">
        <f t="shared" si="1"/>
        <v>#VALUE!</v>
      </c>
      <c r="K26" s="32" t="e">
        <f t="shared" si="2"/>
        <v>#REF!</v>
      </c>
      <c r="L26" s="32"/>
      <c r="M26" s="32"/>
      <c r="O26" s="61"/>
      <c r="P26" s="30"/>
      <c r="Q26" s="7"/>
      <c r="R26" s="7"/>
      <c r="S26" s="11"/>
      <c r="T26" s="7"/>
      <c r="U26" s="7"/>
      <c r="V26" s="33"/>
      <c r="W26" s="8"/>
      <c r="X26" s="32"/>
      <c r="Y26" s="32"/>
      <c r="Z26" s="32"/>
      <c r="AB26" s="61"/>
      <c r="AC26" s="30"/>
      <c r="AD26" s="7"/>
      <c r="AE26" s="7"/>
      <c r="AF26" s="11"/>
      <c r="AG26" s="7"/>
      <c r="AH26" s="7"/>
      <c r="AI26" s="33"/>
      <c r="AJ26" s="8"/>
      <c r="AK26" s="32"/>
      <c r="AL26" s="32"/>
      <c r="AM26" s="32"/>
    </row>
    <row r="27" spans="1:39" x14ac:dyDescent="0.4">
      <c r="A27" s="58" t="e">
        <f t="shared" si="0"/>
        <v>#VALUE!</v>
      </c>
      <c r="B27" s="41" t="str">
        <f>IF(ISNUMBER(' Dose-Response Worksheet 1'!#REF!),5, "")</f>
        <v/>
      </c>
      <c r="C27" s="52" t="str">
        <f>IF(ISNUMBER(' Dose-Response Worksheet 1'!#REF!),' Dose-Response Worksheet 1'!#REF!,"")</f>
        <v/>
      </c>
      <c r="D27" s="39" t="e">
        <f>IF(' Dose-Response Worksheet 1'!#REF!&lt;&gt;"",(B$27-' Dose-Response Worksheet 1'!#REF!)^2,"N/A")</f>
        <v>#REF!</v>
      </c>
      <c r="E27" s="39" t="e">
        <f>IF(' Dose-Response Worksheet 1'!#REF!&lt;&gt;"",(B$27*' Dose-Response Worksheet 1'!#REF!)+' Dose-Response Worksheet 1'!#REF!,"N/A")</f>
        <v>#REF!</v>
      </c>
      <c r="F27" s="40" t="e">
        <f>IF(' Dose-Response Worksheet 1'!#REF!&lt;&gt;"",TINV(0.05,' Dose-Response Worksheet 1'!#REF!)*' Dose-Response Worksheet 1'!#REF!*SQRT(1/' Dose-Response Worksheet 1'!#REF!+D27/' Dose-Response Worksheet 1'!#REF!),"N/A")</f>
        <v>#REF!</v>
      </c>
      <c r="G27" s="39" t="e">
        <f>IF(' Dose-Response Worksheet 1'!#REF!="",NA(),E27-F27)</f>
        <v>#REF!</v>
      </c>
      <c r="H27" s="39" t="e">
        <f>IF(' Dose-Response Worksheet 1'!#REF!&lt;&gt;"",E27+F27,"N/A")</f>
        <v>#REF!</v>
      </c>
      <c r="I27" s="39" t="e">
        <f>IF(' Dose-Response Worksheet 1'!#REF!&lt;&gt;"",(C27-E27)^2,"N/A")</f>
        <v>#REF!</v>
      </c>
      <c r="J27" s="32" t="e">
        <f t="shared" si="1"/>
        <v>#VALUE!</v>
      </c>
      <c r="K27" s="32" t="e">
        <f t="shared" si="2"/>
        <v>#REF!</v>
      </c>
      <c r="L27" s="32"/>
      <c r="M27" s="32"/>
      <c r="O27" s="61"/>
      <c r="P27" s="30"/>
      <c r="Q27" s="7"/>
      <c r="R27" s="7"/>
      <c r="S27" s="11"/>
      <c r="T27" s="7"/>
      <c r="U27" s="7"/>
      <c r="V27" s="33"/>
      <c r="W27" s="8"/>
      <c r="X27" s="32"/>
      <c r="Y27" s="32"/>
      <c r="Z27" s="32"/>
      <c r="AB27" s="61"/>
      <c r="AC27" s="30"/>
      <c r="AD27" s="7"/>
      <c r="AE27" s="7"/>
      <c r="AF27" s="11"/>
      <c r="AG27" s="7"/>
      <c r="AH27" s="7"/>
      <c r="AI27" s="33"/>
      <c r="AJ27" s="8"/>
      <c r="AK27" s="32"/>
      <c r="AL27" s="32"/>
      <c r="AM27" s="32"/>
    </row>
    <row r="28" spans="1:39" x14ac:dyDescent="0.4">
      <c r="A28" s="58" t="e">
        <f t="shared" si="0"/>
        <v>#VALUE!</v>
      </c>
      <c r="B28" s="41" t="str">
        <f>IF(ISNUMBER(' Dose-Response Worksheet 1'!#REF!),5, "")</f>
        <v/>
      </c>
      <c r="C28" s="52" t="str">
        <f>IF(ISNUMBER(' Dose-Response Worksheet 1'!#REF!),' Dose-Response Worksheet 1'!#REF!,"")</f>
        <v/>
      </c>
      <c r="D28" s="39" t="e">
        <f>IF(' Dose-Response Worksheet 1'!#REF!&lt;&gt;"",(B$28-' Dose-Response Worksheet 1'!#REF!)^2,"N/A")</f>
        <v>#REF!</v>
      </c>
      <c r="E28" s="39" t="e">
        <f>IF(' Dose-Response Worksheet 1'!#REF!&lt;&gt;"",(B$28*' Dose-Response Worksheet 1'!#REF!)+' Dose-Response Worksheet 1'!#REF!,"N/A")</f>
        <v>#REF!</v>
      </c>
      <c r="F28" s="40" t="e">
        <f>IF(' Dose-Response Worksheet 1'!#REF!&lt;&gt;"",TINV(0.05,' Dose-Response Worksheet 1'!#REF!)*' Dose-Response Worksheet 1'!#REF!*SQRT(1/' Dose-Response Worksheet 1'!#REF!+D28/' Dose-Response Worksheet 1'!#REF!),"N/A")</f>
        <v>#REF!</v>
      </c>
      <c r="G28" s="39" t="e">
        <f>IF(' Dose-Response Worksheet 1'!#REF!="",NA(),E28-F28)</f>
        <v>#REF!</v>
      </c>
      <c r="H28" s="39" t="e">
        <f>IF(' Dose-Response Worksheet 1'!#REF!&lt;&gt;"",E28+F28,"N/A")</f>
        <v>#REF!</v>
      </c>
      <c r="I28" s="39" t="e">
        <f>IF(' Dose-Response Worksheet 1'!#REF!&lt;&gt;"",(C28-E28)^2,"N/A")</f>
        <v>#REF!</v>
      </c>
      <c r="J28" s="32" t="e">
        <f t="shared" si="1"/>
        <v>#VALUE!</v>
      </c>
      <c r="K28" s="32" t="e">
        <f t="shared" si="2"/>
        <v>#REF!</v>
      </c>
      <c r="L28" s="32"/>
      <c r="M28" s="32"/>
      <c r="O28" s="61"/>
      <c r="P28" s="30"/>
      <c r="Q28" s="7"/>
      <c r="R28" s="7"/>
      <c r="S28" s="11"/>
      <c r="T28" s="7"/>
      <c r="U28" s="7"/>
      <c r="V28" s="33"/>
      <c r="W28" s="8"/>
      <c r="X28" s="32"/>
      <c r="Y28" s="32"/>
      <c r="Z28" s="32"/>
      <c r="AB28" s="61"/>
      <c r="AC28" s="30"/>
      <c r="AD28" s="7"/>
      <c r="AE28" s="7"/>
      <c r="AF28" s="11"/>
      <c r="AG28" s="7"/>
      <c r="AH28" s="7"/>
      <c r="AI28" s="33"/>
      <c r="AJ28" s="8"/>
      <c r="AK28" s="32"/>
      <c r="AL28" s="32"/>
      <c r="AM28" s="32"/>
    </row>
    <row r="29" spans="1:39" x14ac:dyDescent="0.4">
      <c r="A29" t="s">
        <v>1</v>
      </c>
      <c r="B29" s="59" t="e">
        <f>AVERAGE(B4:B28)</f>
        <v>#DIV/0!</v>
      </c>
      <c r="C29" s="59" t="e">
        <f>AVERAGE(C4:C28)</f>
        <v>#DIV/0!</v>
      </c>
    </row>
    <row r="30" spans="1:39" x14ac:dyDescent="0.4">
      <c r="A30" t="s">
        <v>3</v>
      </c>
      <c r="B30" s="60" t="e">
        <f>STDEV(B4:B28)</f>
        <v>#DIV/0!</v>
      </c>
      <c r="C30" s="60" t="e">
        <f>STDEV(C4:C28)</f>
        <v>#DIV/0!</v>
      </c>
    </row>
    <row r="31" spans="1:39" x14ac:dyDescent="0.4">
      <c r="A31" t="s">
        <v>106</v>
      </c>
      <c r="B31" s="58">
        <f>SUM(B4:B28)</f>
        <v>0</v>
      </c>
      <c r="C31" s="58">
        <f t="shared" ref="C31:K31" si="3">SUM(C4:C28)</f>
        <v>0</v>
      </c>
      <c r="D31" s="58" t="e">
        <f t="shared" si="3"/>
        <v>#REF!</v>
      </c>
      <c r="E31" s="58" t="e">
        <f t="shared" si="3"/>
        <v>#REF!</v>
      </c>
      <c r="F31" s="58" t="e">
        <f t="shared" si="3"/>
        <v>#REF!</v>
      </c>
      <c r="G31" s="58" t="e">
        <f t="shared" si="3"/>
        <v>#REF!</v>
      </c>
      <c r="H31" s="58" t="e">
        <f t="shared" si="3"/>
        <v>#REF!</v>
      </c>
      <c r="I31" s="59" t="e">
        <f t="shared" si="3"/>
        <v>#REF!</v>
      </c>
      <c r="J31" s="58" t="e">
        <f t="shared" si="3"/>
        <v>#VALUE!</v>
      </c>
      <c r="K31" s="59" t="e">
        <f t="shared" si="3"/>
        <v>#REF!</v>
      </c>
    </row>
    <row r="32" spans="1:39" x14ac:dyDescent="0.4">
      <c r="A32" s="58"/>
    </row>
    <row r="33" spans="3:4" x14ac:dyDescent="0.4">
      <c r="C33" t="s">
        <v>108</v>
      </c>
      <c r="D33" s="59" t="e">
        <f>J31</f>
        <v>#VALUE!</v>
      </c>
    </row>
    <row r="34" spans="3:4" x14ac:dyDescent="0.4">
      <c r="C34" t="s">
        <v>109</v>
      </c>
      <c r="D34" s="59" t="e">
        <f>I31</f>
        <v>#REF!</v>
      </c>
    </row>
    <row r="35" spans="3:4" x14ac:dyDescent="0.4">
      <c r="C35" t="s">
        <v>111</v>
      </c>
      <c r="D35" s="59" t="e">
        <f>D33-D34</f>
        <v>#VALUE!</v>
      </c>
    </row>
    <row r="36" spans="3:4" x14ac:dyDescent="0.4">
      <c r="C36" t="s">
        <v>112</v>
      </c>
      <c r="D36" t="e">
        <f>D35/D33</f>
        <v>#VALUE!</v>
      </c>
    </row>
    <row r="37" spans="3:4" x14ac:dyDescent="0.4">
      <c r="C37" t="s">
        <v>113</v>
      </c>
      <c r="D37" t="e">
        <f>SQRT(D36)</f>
        <v>#VALUE!</v>
      </c>
    </row>
    <row r="38" spans="3:4" x14ac:dyDescent="0.4">
      <c r="C38" t="s">
        <v>114</v>
      </c>
      <c r="D38" t="e">
        <f>(E28-E4)/(B28-B4)</f>
        <v>#REF!</v>
      </c>
    </row>
    <row r="39" spans="3:4" x14ac:dyDescent="0.4">
      <c r="C39" t="s">
        <v>115</v>
      </c>
      <c r="D39" t="e">
        <f>C29-(D38*B29)</f>
        <v>#DIV/0!</v>
      </c>
    </row>
    <row r="40" spans="3:4" x14ac:dyDescent="0.4">
      <c r="C40" t="s">
        <v>116</v>
      </c>
      <c r="D40" t="e">
        <f>SQRT(D34/23)</f>
        <v>#REF!</v>
      </c>
    </row>
  </sheetData>
  <sheetProtection password="E481" sheet="1" objects="1" scenarios="1" selectLockedCells="1" selectUnlockedCells="1"/>
  <mergeCells count="6">
    <mergeCell ref="AD2:AD3"/>
    <mergeCell ref="C2:C3"/>
    <mergeCell ref="D2:D3"/>
    <mergeCell ref="P2:P3"/>
    <mergeCell ref="Q2:Q3"/>
    <mergeCell ref="AC2:AC3"/>
  </mergeCells>
  <pageMargins left="0.7" right="0.7" top="0.75" bottom="0.75" header="0.3" footer="0.3"/>
  <pageSetup scale="90"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D9F49-CA27-4B42-B304-DA970CD1FB1D}">
  <dimension ref="A1:R64"/>
  <sheetViews>
    <sheetView zoomScale="90" zoomScaleNormal="90" workbookViewId="0">
      <selection activeCell="C2" sqref="C2"/>
    </sheetView>
  </sheetViews>
  <sheetFormatPr defaultColWidth="9.1171875" defaultRowHeight="14.35" x14ac:dyDescent="0.5"/>
  <cols>
    <col min="1" max="1" width="3.76171875" style="213" customWidth="1"/>
    <col min="2" max="2" width="21" style="213" bestFit="1" customWidth="1"/>
    <col min="3" max="3" width="14.87890625" style="213" bestFit="1" customWidth="1"/>
    <col min="4" max="4" width="18.3515625" style="213" bestFit="1" customWidth="1"/>
    <col min="5" max="5" width="12.41015625" style="213" customWidth="1"/>
    <col min="6" max="6" width="5.76171875" style="213" bestFit="1" customWidth="1"/>
    <col min="7" max="7" width="3.234375" style="213" customWidth="1"/>
    <col min="8" max="8" width="12.1171875" style="213" customWidth="1"/>
    <col min="9" max="9" width="14.87890625" style="213" bestFit="1" customWidth="1"/>
    <col min="10" max="10" width="19.64453125" style="213" bestFit="1" customWidth="1"/>
    <col min="11" max="11" width="12" style="213" bestFit="1" customWidth="1"/>
    <col min="12" max="12" width="8.234375" style="213" bestFit="1" customWidth="1"/>
    <col min="13" max="13" width="3.52734375" style="213" customWidth="1"/>
    <col min="14" max="14" width="22.87890625" style="213" customWidth="1"/>
    <col min="15" max="15" width="5.76171875" style="213" bestFit="1" customWidth="1"/>
    <col min="16" max="16384" width="9.1171875" style="213"/>
  </cols>
  <sheetData>
    <row r="1" spans="1:15" s="212" customFormat="1" ht="14.7" thickBot="1" x14ac:dyDescent="0.55000000000000004">
      <c r="A1" s="212" t="s">
        <v>179</v>
      </c>
    </row>
    <row r="2" spans="1:15" x14ac:dyDescent="0.5">
      <c r="B2" s="214" t="s">
        <v>180</v>
      </c>
      <c r="C2" s="202" t="s">
        <v>199</v>
      </c>
      <c r="E2" s="215" t="s">
        <v>31</v>
      </c>
      <c r="F2" s="193" t="s">
        <v>4</v>
      </c>
    </row>
    <row r="3" spans="1:15" ht="13.35" customHeight="1" thickBot="1" x14ac:dyDescent="0.55000000000000004">
      <c r="B3" s="216" t="s">
        <v>80</v>
      </c>
      <c r="C3" s="194" t="s">
        <v>198</v>
      </c>
      <c r="E3" s="217" t="s">
        <v>181</v>
      </c>
      <c r="F3" s="203" t="s">
        <v>69</v>
      </c>
    </row>
    <row r="4" spans="1:15" ht="14.7" hidden="1" thickBot="1" x14ac:dyDescent="0.55000000000000004"/>
    <row r="5" spans="1:15" ht="49.1" customHeight="1" thickBot="1" x14ac:dyDescent="0.85">
      <c r="A5" s="283" t="s">
        <v>182</v>
      </c>
      <c r="B5" s="284"/>
      <c r="C5" s="284"/>
      <c r="D5" s="284"/>
      <c r="E5" s="284"/>
      <c r="F5" s="284"/>
      <c r="G5" s="285"/>
      <c r="H5" s="286" t="s">
        <v>214</v>
      </c>
      <c r="I5" s="287"/>
      <c r="J5" s="287"/>
      <c r="K5" s="287"/>
      <c r="L5" s="287"/>
      <c r="M5" s="287"/>
      <c r="N5" s="287"/>
      <c r="O5" s="288"/>
    </row>
    <row r="6" spans="1:15" ht="14.7" thickBot="1" x14ac:dyDescent="0.55000000000000004">
      <c r="A6" s="212" t="s">
        <v>183</v>
      </c>
      <c r="H6" s="212" t="s">
        <v>184</v>
      </c>
    </row>
    <row r="7" spans="1:15" s="224" customFormat="1" ht="41.7" customHeight="1" x14ac:dyDescent="0.5">
      <c r="A7" s="218"/>
      <c r="B7" s="219" t="s">
        <v>185</v>
      </c>
      <c r="C7" s="220" t="s">
        <v>31</v>
      </c>
      <c r="D7" s="221" t="s">
        <v>186</v>
      </c>
      <c r="E7" s="222" t="s">
        <v>187</v>
      </c>
      <c r="F7" s="223" t="s">
        <v>31</v>
      </c>
      <c r="H7" s="221" t="s">
        <v>188</v>
      </c>
      <c r="I7" s="220" t="s">
        <v>31</v>
      </c>
      <c r="J7" s="221" t="s">
        <v>189</v>
      </c>
      <c r="K7" s="222" t="s">
        <v>187</v>
      </c>
      <c r="L7" s="223" t="s">
        <v>31</v>
      </c>
      <c r="N7" s="221" t="s">
        <v>203</v>
      </c>
      <c r="O7" s="223" t="s">
        <v>31</v>
      </c>
    </row>
    <row r="8" spans="1:15" s="229" customFormat="1" ht="18.75" customHeight="1" thickBot="1" x14ac:dyDescent="0.55000000000000004">
      <c r="A8" s="218"/>
      <c r="B8" s="225">
        <v>1000</v>
      </c>
      <c r="C8" s="226" t="s">
        <v>4</v>
      </c>
      <c r="D8" s="196">
        <v>15</v>
      </c>
      <c r="E8" s="227">
        <f>D8*B8</f>
        <v>15000</v>
      </c>
      <c r="F8" s="228"/>
      <c r="H8" s="197">
        <v>1000</v>
      </c>
      <c r="I8" s="230" t="str">
        <f>F2</f>
        <v>mg/dL</v>
      </c>
      <c r="J8" s="196">
        <v>15</v>
      </c>
      <c r="K8" s="227">
        <f>J8*H8</f>
        <v>15000</v>
      </c>
      <c r="L8" s="228" t="str">
        <f>F2</f>
        <v>mg/dL</v>
      </c>
      <c r="N8" s="195">
        <v>1000</v>
      </c>
      <c r="O8" s="228" t="str">
        <f>F2</f>
        <v>mg/dL</v>
      </c>
    </row>
    <row r="9" spans="1:15" x14ac:dyDescent="0.5">
      <c r="A9" s="218"/>
    </row>
    <row r="10" spans="1:15" ht="14.7" thickBot="1" x14ac:dyDescent="0.55000000000000004">
      <c r="A10" s="212" t="s">
        <v>190</v>
      </c>
      <c r="H10" s="212" t="s">
        <v>191</v>
      </c>
    </row>
    <row r="11" spans="1:15" s="224" customFormat="1" ht="43" x14ac:dyDescent="0.5">
      <c r="B11" s="231" t="s">
        <v>192</v>
      </c>
      <c r="C11" s="222" t="s">
        <v>193</v>
      </c>
      <c r="D11" s="232" t="s">
        <v>31</v>
      </c>
      <c r="E11" s="289" t="s">
        <v>194</v>
      </c>
      <c r="F11" s="290"/>
      <c r="H11" s="231" t="s">
        <v>192</v>
      </c>
      <c r="I11" s="222" t="s">
        <v>193</v>
      </c>
      <c r="J11" s="222" t="s">
        <v>31</v>
      </c>
      <c r="K11" s="296" t="s">
        <v>194</v>
      </c>
      <c r="L11" s="297"/>
    </row>
    <row r="12" spans="1:15" ht="20.25" customHeight="1" thickBot="1" x14ac:dyDescent="0.55000000000000004">
      <c r="B12" s="195">
        <v>10</v>
      </c>
      <c r="C12" s="198">
        <v>1500</v>
      </c>
      <c r="D12" s="233" t="str">
        <f>F2</f>
        <v>mg/dL</v>
      </c>
      <c r="E12" s="291">
        <f>((B12*C12)/E8)</f>
        <v>1</v>
      </c>
      <c r="F12" s="292"/>
      <c r="H12" s="195">
        <v>10</v>
      </c>
      <c r="I12" s="198">
        <v>1500</v>
      </c>
      <c r="J12" s="230" t="str">
        <f>F2</f>
        <v>mg/dL</v>
      </c>
      <c r="K12" s="291">
        <f>((H12*(I12-N8)/K8))</f>
        <v>0.33333333333333331</v>
      </c>
      <c r="L12" s="292"/>
    </row>
    <row r="13" spans="1:15" ht="7.7" customHeight="1" x14ac:dyDescent="0.5"/>
    <row r="14" spans="1:15" ht="14.7" thickBot="1" x14ac:dyDescent="0.55000000000000004">
      <c r="A14" s="212" t="s">
        <v>195</v>
      </c>
      <c r="F14" s="218"/>
      <c r="H14" s="212" t="s">
        <v>195</v>
      </c>
    </row>
    <row r="15" spans="1:15" ht="18.350000000000001" customHeight="1" x14ac:dyDescent="0.5">
      <c r="A15" s="293" t="s">
        <v>200</v>
      </c>
      <c r="B15" s="294"/>
      <c r="C15" s="294"/>
      <c r="D15" s="295"/>
      <c r="E15" s="234">
        <f>B12</f>
        <v>10</v>
      </c>
      <c r="F15" s="220" t="s">
        <v>196</v>
      </c>
      <c r="H15" s="293" t="s">
        <v>200</v>
      </c>
      <c r="I15" s="303"/>
      <c r="J15" s="303"/>
      <c r="K15" s="304"/>
      <c r="L15" s="234">
        <f>H12</f>
        <v>10</v>
      </c>
      <c r="M15" s="220" t="s">
        <v>196</v>
      </c>
    </row>
    <row r="16" spans="1:15" ht="14.7" customHeight="1" x14ac:dyDescent="0.5">
      <c r="A16" s="298" t="s">
        <v>202</v>
      </c>
      <c r="B16" s="307"/>
      <c r="C16" s="307"/>
      <c r="D16" s="295"/>
      <c r="E16" s="235">
        <f>E12</f>
        <v>1</v>
      </c>
      <c r="F16" s="236" t="s">
        <v>196</v>
      </c>
      <c r="H16" s="305" t="s">
        <v>197</v>
      </c>
      <c r="I16" s="306"/>
      <c r="J16" s="306"/>
      <c r="K16" s="304"/>
      <c r="L16" s="235">
        <f>K12</f>
        <v>0.33333333333333331</v>
      </c>
      <c r="M16" s="236" t="s">
        <v>196</v>
      </c>
    </row>
    <row r="17" spans="1:18" ht="13.35" customHeight="1" thickBot="1" x14ac:dyDescent="0.55000000000000004">
      <c r="A17" s="293" t="s">
        <v>201</v>
      </c>
      <c r="B17" s="294"/>
      <c r="C17" s="294"/>
      <c r="D17" s="295"/>
      <c r="E17" s="237">
        <f>E12</f>
        <v>1</v>
      </c>
      <c r="F17" s="238" t="s">
        <v>196</v>
      </c>
      <c r="G17" s="239"/>
      <c r="H17" s="293" t="s">
        <v>201</v>
      </c>
      <c r="I17" s="303"/>
      <c r="J17" s="303"/>
      <c r="K17" s="304"/>
      <c r="L17" s="237">
        <f>K12</f>
        <v>0.33333333333333331</v>
      </c>
      <c r="M17" s="238" t="s">
        <v>196</v>
      </c>
    </row>
    <row r="18" spans="1:18" x14ac:dyDescent="0.5">
      <c r="G18" s="239"/>
      <c r="H18" s="240"/>
      <c r="I18" s="240"/>
      <c r="J18" s="241"/>
    </row>
    <row r="19" spans="1:18" x14ac:dyDescent="0.5">
      <c r="G19" s="239"/>
      <c r="H19" s="240"/>
      <c r="I19" s="240"/>
      <c r="J19" s="241"/>
      <c r="K19" s="298"/>
      <c r="L19" s="299"/>
      <c r="M19" s="299"/>
      <c r="N19" s="300"/>
      <c r="O19" s="300"/>
    </row>
    <row r="20" spans="1:18" x14ac:dyDescent="0.5">
      <c r="G20" s="239"/>
      <c r="H20" s="240"/>
      <c r="I20" s="240"/>
      <c r="J20" s="241"/>
      <c r="K20" s="242"/>
      <c r="L20" s="242"/>
      <c r="M20" s="242"/>
      <c r="N20" s="242"/>
      <c r="O20" s="242"/>
      <c r="P20" s="301"/>
      <c r="Q20" s="302"/>
      <c r="R20" s="302"/>
    </row>
    <row r="21" spans="1:18" x14ac:dyDescent="0.5">
      <c r="G21" s="239"/>
      <c r="H21" s="240"/>
      <c r="I21" s="240"/>
      <c r="J21" s="241"/>
      <c r="K21" s="242"/>
      <c r="L21" s="242"/>
      <c r="M21" s="242"/>
      <c r="N21" s="242"/>
      <c r="O21" s="242"/>
      <c r="P21" s="301"/>
      <c r="Q21" s="301"/>
      <c r="R21" s="301"/>
    </row>
    <row r="22" spans="1:18" x14ac:dyDescent="0.5">
      <c r="G22" s="239"/>
      <c r="H22" s="240"/>
      <c r="I22" s="240"/>
      <c r="J22" s="241"/>
    </row>
    <row r="23" spans="1:18" x14ac:dyDescent="0.5">
      <c r="G23" s="239"/>
      <c r="H23" s="240"/>
      <c r="I23" s="240"/>
      <c r="J23" s="241"/>
    </row>
    <row r="24" spans="1:18" x14ac:dyDescent="0.5">
      <c r="G24" s="239"/>
      <c r="H24" s="240"/>
      <c r="I24" s="240"/>
      <c r="J24" s="241"/>
      <c r="K24" s="242"/>
      <c r="L24" s="242"/>
      <c r="M24" s="242"/>
      <c r="N24" s="242"/>
      <c r="O24" s="242"/>
    </row>
    <row r="25" spans="1:18" x14ac:dyDescent="0.5">
      <c r="G25" s="239"/>
      <c r="H25" s="240"/>
      <c r="I25" s="240"/>
      <c r="J25" s="241"/>
      <c r="K25" s="242"/>
    </row>
    <row r="26" spans="1:18" x14ac:dyDescent="0.5">
      <c r="G26" s="239"/>
      <c r="H26" s="240"/>
      <c r="I26" s="240"/>
      <c r="J26" s="241"/>
    </row>
    <row r="27" spans="1:18" x14ac:dyDescent="0.5">
      <c r="G27" s="239"/>
      <c r="H27" s="240"/>
      <c r="I27" s="240"/>
      <c r="J27" s="241"/>
    </row>
    <row r="28" spans="1:18" x14ac:dyDescent="0.5">
      <c r="G28" s="239"/>
      <c r="H28" s="240"/>
      <c r="I28" s="240"/>
      <c r="J28" s="241"/>
    </row>
    <row r="29" spans="1:18" x14ac:dyDescent="0.5">
      <c r="G29" s="239"/>
      <c r="H29" s="240"/>
      <c r="I29" s="240"/>
      <c r="J29" s="241"/>
    </row>
    <row r="30" spans="1:18" x14ac:dyDescent="0.5">
      <c r="G30" s="239"/>
      <c r="H30" s="240"/>
      <c r="I30" s="240"/>
      <c r="J30" s="241"/>
    </row>
    <row r="31" spans="1:18" x14ac:dyDescent="0.5">
      <c r="G31" s="239"/>
      <c r="H31" s="240"/>
      <c r="I31" s="240"/>
      <c r="J31" s="241"/>
    </row>
    <row r="32" spans="1:18" x14ac:dyDescent="0.5">
      <c r="H32" s="240"/>
      <c r="I32" s="240"/>
      <c r="J32" s="241"/>
    </row>
    <row r="33" spans="8:10" x14ac:dyDescent="0.5">
      <c r="H33" s="240"/>
      <c r="I33" s="240"/>
      <c r="J33" s="241"/>
    </row>
    <row r="34" spans="8:10" x14ac:dyDescent="0.5">
      <c r="H34" s="240"/>
      <c r="I34" s="240"/>
      <c r="J34" s="241"/>
    </row>
    <row r="35" spans="8:10" x14ac:dyDescent="0.5">
      <c r="H35" s="240"/>
      <c r="I35" s="240"/>
      <c r="J35" s="241"/>
    </row>
    <row r="36" spans="8:10" x14ac:dyDescent="0.5">
      <c r="H36" s="240"/>
      <c r="I36" s="240"/>
      <c r="J36" s="241"/>
    </row>
    <row r="37" spans="8:10" x14ac:dyDescent="0.5">
      <c r="H37" s="240"/>
      <c r="I37" s="240"/>
      <c r="J37" s="241"/>
    </row>
    <row r="38" spans="8:10" x14ac:dyDescent="0.5">
      <c r="H38" s="240"/>
      <c r="I38" s="240"/>
      <c r="J38" s="241"/>
    </row>
    <row r="39" spans="8:10" x14ac:dyDescent="0.5">
      <c r="H39" s="240"/>
      <c r="I39" s="240"/>
      <c r="J39" s="241"/>
    </row>
    <row r="40" spans="8:10" x14ac:dyDescent="0.5">
      <c r="H40" s="240"/>
      <c r="I40" s="240"/>
      <c r="J40" s="241"/>
    </row>
    <row r="41" spans="8:10" x14ac:dyDescent="0.5">
      <c r="H41" s="240"/>
      <c r="I41" s="240"/>
      <c r="J41" s="241"/>
    </row>
    <row r="42" spans="8:10" x14ac:dyDescent="0.5">
      <c r="H42" s="240"/>
      <c r="I42" s="240"/>
      <c r="J42" s="241"/>
    </row>
    <row r="43" spans="8:10" x14ac:dyDescent="0.5">
      <c r="H43" s="240"/>
      <c r="I43" s="240"/>
      <c r="J43" s="241"/>
    </row>
    <row r="44" spans="8:10" x14ac:dyDescent="0.5">
      <c r="H44" s="240"/>
      <c r="I44" s="240"/>
      <c r="J44" s="241"/>
    </row>
    <row r="45" spans="8:10" x14ac:dyDescent="0.5">
      <c r="H45" s="240"/>
      <c r="I45" s="240"/>
      <c r="J45" s="241"/>
    </row>
    <row r="46" spans="8:10" x14ac:dyDescent="0.5">
      <c r="H46" s="240"/>
      <c r="I46" s="240"/>
      <c r="J46" s="241"/>
    </row>
    <row r="47" spans="8:10" x14ac:dyDescent="0.5">
      <c r="H47" s="240"/>
      <c r="I47" s="240"/>
      <c r="J47" s="241"/>
    </row>
    <row r="48" spans="8:10" x14ac:dyDescent="0.5">
      <c r="H48" s="240"/>
      <c r="I48" s="240"/>
      <c r="J48" s="241"/>
    </row>
    <row r="49" spans="8:10" x14ac:dyDescent="0.5">
      <c r="H49" s="240"/>
      <c r="I49" s="240"/>
      <c r="J49" s="241"/>
    </row>
    <row r="50" spans="8:10" x14ac:dyDescent="0.5">
      <c r="H50" s="240"/>
      <c r="I50" s="240"/>
      <c r="J50" s="241"/>
    </row>
    <row r="51" spans="8:10" x14ac:dyDescent="0.5">
      <c r="H51" s="240"/>
      <c r="I51" s="240"/>
      <c r="J51" s="241"/>
    </row>
    <row r="52" spans="8:10" x14ac:dyDescent="0.5">
      <c r="H52" s="240"/>
      <c r="I52" s="240"/>
      <c r="J52" s="241"/>
    </row>
    <row r="53" spans="8:10" x14ac:dyDescent="0.5">
      <c r="H53" s="240"/>
      <c r="I53" s="240"/>
      <c r="J53" s="241"/>
    </row>
    <row r="54" spans="8:10" x14ac:dyDescent="0.5">
      <c r="H54" s="240"/>
      <c r="I54" s="240"/>
      <c r="J54" s="241"/>
    </row>
    <row r="55" spans="8:10" x14ac:dyDescent="0.5">
      <c r="H55" s="240"/>
      <c r="I55" s="240"/>
      <c r="J55" s="241"/>
    </row>
    <row r="56" spans="8:10" x14ac:dyDescent="0.5">
      <c r="H56" s="240"/>
      <c r="I56" s="240"/>
      <c r="J56" s="241"/>
    </row>
    <row r="57" spans="8:10" x14ac:dyDescent="0.5">
      <c r="H57" s="240"/>
      <c r="I57" s="240"/>
      <c r="J57" s="241"/>
    </row>
    <row r="58" spans="8:10" x14ac:dyDescent="0.5">
      <c r="H58" s="240"/>
      <c r="I58" s="240"/>
      <c r="J58" s="241"/>
    </row>
    <row r="59" spans="8:10" x14ac:dyDescent="0.5">
      <c r="H59" s="243"/>
      <c r="I59" s="243"/>
      <c r="J59" s="229"/>
    </row>
    <row r="63" spans="8:10" ht="34.5" customHeight="1" x14ac:dyDescent="0.5"/>
    <row r="64" spans="8:10" ht="33.75" customHeight="1" x14ac:dyDescent="0.5"/>
  </sheetData>
  <sheetProtection selectLockedCells="1"/>
  <mergeCells count="15">
    <mergeCell ref="A17:D17"/>
    <mergeCell ref="K19:O19"/>
    <mergeCell ref="P20:R20"/>
    <mergeCell ref="P21:R21"/>
    <mergeCell ref="K12:L12"/>
    <mergeCell ref="H15:K15"/>
    <mergeCell ref="H16:K16"/>
    <mergeCell ref="H17:K17"/>
    <mergeCell ref="A16:D16"/>
    <mergeCell ref="A5:G5"/>
    <mergeCell ref="H5:O5"/>
    <mergeCell ref="E11:F11"/>
    <mergeCell ref="E12:F12"/>
    <mergeCell ref="A15:D15"/>
    <mergeCell ref="K11:L11"/>
  </mergeCells>
  <pageMargins left="0.7" right="0.7" top="0.75" bottom="0.75" header="0.3" footer="0.3"/>
  <pageSetup scale="70" orientation="landscape" r:id="rId1"/>
  <headerFooter>
    <oddHeader>&amp;C&amp;G</oddHeader>
    <oddFooter xml:space="preserve">&amp;RSunDx INTWKSHT20191021
</oddFooter>
  </headerFooter>
  <colBreaks count="1" manualBreakCount="1">
    <brk id="15"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B6500-D5E4-4A09-9D71-90DE814D680D}">
  <dimension ref="A1:M34"/>
  <sheetViews>
    <sheetView topLeftCell="C1" zoomScale="90" zoomScaleNormal="90" zoomScaleSheetLayoutView="90" workbookViewId="0">
      <selection activeCell="H56" sqref="H56"/>
    </sheetView>
  </sheetViews>
  <sheetFormatPr defaultRowHeight="12.7" x14ac:dyDescent="0.4"/>
  <cols>
    <col min="2" max="2" width="34.87890625" customWidth="1"/>
    <col min="3" max="3" width="3.234375" customWidth="1"/>
    <col min="5" max="5" width="34.3515625" customWidth="1"/>
    <col min="6" max="6" width="3.234375" customWidth="1"/>
    <col min="8" max="8" width="34.76171875" customWidth="1"/>
    <col min="9" max="9" width="3.234375" customWidth="1"/>
    <col min="11" max="11" width="35.234375" customWidth="1"/>
    <col min="12" max="12" width="3.64453125" customWidth="1"/>
  </cols>
  <sheetData>
    <row r="1" spans="1:13" ht="13.7" x14ac:dyDescent="0.4">
      <c r="A1" s="201" t="s">
        <v>157</v>
      </c>
      <c r="B1" s="200"/>
      <c r="C1" s="200"/>
      <c r="D1" s="200"/>
      <c r="E1" s="200"/>
      <c r="F1" s="200"/>
      <c r="G1" s="200"/>
      <c r="H1" s="200"/>
      <c r="I1" s="200"/>
      <c r="J1" s="200"/>
      <c r="K1" s="200"/>
    </row>
    <row r="2" spans="1:13" ht="13.7" x14ac:dyDescent="0.4">
      <c r="A2" s="201"/>
      <c r="B2" s="200"/>
      <c r="C2" s="200"/>
      <c r="D2" s="200"/>
      <c r="E2" s="200"/>
      <c r="F2" s="200"/>
      <c r="G2" s="200"/>
      <c r="H2" s="200"/>
      <c r="I2" s="200"/>
      <c r="J2" s="200"/>
      <c r="K2" s="200"/>
    </row>
    <row r="3" spans="1:13" ht="13.7" x14ac:dyDescent="0.4">
      <c r="A3" s="115" t="s">
        <v>141</v>
      </c>
      <c r="B3" s="116"/>
      <c r="C3" s="116"/>
      <c r="D3" s="115" t="s">
        <v>139</v>
      </c>
      <c r="E3" s="116"/>
      <c r="F3" s="116"/>
      <c r="G3" s="115" t="s">
        <v>141</v>
      </c>
      <c r="H3" s="116"/>
      <c r="I3" s="116"/>
      <c r="J3" s="115" t="s">
        <v>139</v>
      </c>
      <c r="K3" s="116"/>
    </row>
    <row r="4" spans="1:13" ht="14" thickBot="1" x14ac:dyDescent="0.45">
      <c r="A4" s="115" t="s">
        <v>140</v>
      </c>
      <c r="B4" s="116"/>
      <c r="C4" s="116"/>
      <c r="D4" s="115" t="s">
        <v>140</v>
      </c>
      <c r="E4" s="116"/>
      <c r="F4" s="116"/>
      <c r="G4" s="115" t="s">
        <v>215</v>
      </c>
      <c r="H4" s="116"/>
      <c r="I4" s="116"/>
      <c r="J4" s="115" t="s">
        <v>215</v>
      </c>
      <c r="K4" s="116"/>
    </row>
    <row r="5" spans="1:13" ht="17.7" customHeight="1" thickBot="1" x14ac:dyDescent="0.45">
      <c r="A5" s="117" t="s">
        <v>143</v>
      </c>
      <c r="B5" s="118" t="s">
        <v>102</v>
      </c>
      <c r="C5" s="119"/>
      <c r="D5" s="117" t="s">
        <v>143</v>
      </c>
      <c r="E5" s="118" t="s">
        <v>102</v>
      </c>
      <c r="F5" s="201"/>
      <c r="G5" s="117" t="s">
        <v>143</v>
      </c>
      <c r="H5" s="118" t="s">
        <v>102</v>
      </c>
      <c r="I5" s="119"/>
      <c r="J5" s="117" t="s">
        <v>143</v>
      </c>
      <c r="K5" s="118" t="s">
        <v>102</v>
      </c>
    </row>
    <row r="6" spans="1:13" ht="14" thickBot="1" x14ac:dyDescent="0.45">
      <c r="A6" s="120">
        <v>0.8</v>
      </c>
      <c r="B6" s="121">
        <v>27</v>
      </c>
      <c r="C6" s="200"/>
      <c r="D6" s="120">
        <v>0.8</v>
      </c>
      <c r="E6" s="121">
        <v>33</v>
      </c>
      <c r="F6" s="200"/>
      <c r="G6" s="120">
        <v>0.8</v>
      </c>
      <c r="H6" s="121">
        <v>34</v>
      </c>
      <c r="I6" s="200"/>
      <c r="J6" s="120">
        <v>0.8</v>
      </c>
      <c r="K6" s="121">
        <v>41</v>
      </c>
    </row>
    <row r="7" spans="1:13" ht="14" thickBot="1" x14ac:dyDescent="0.45">
      <c r="A7" s="120">
        <v>1</v>
      </c>
      <c r="B7" s="121">
        <v>18</v>
      </c>
      <c r="C7" s="200"/>
      <c r="D7" s="120">
        <v>1</v>
      </c>
      <c r="E7" s="121">
        <v>22</v>
      </c>
      <c r="F7" s="200"/>
      <c r="G7" s="120">
        <v>1</v>
      </c>
      <c r="H7" s="121">
        <v>22</v>
      </c>
      <c r="I7" s="200"/>
      <c r="J7" s="120">
        <v>1</v>
      </c>
      <c r="K7" s="121">
        <v>26</v>
      </c>
      <c r="M7" s="199"/>
    </row>
    <row r="8" spans="1:13" ht="14" thickBot="1" x14ac:dyDescent="0.45">
      <c r="A8" s="120">
        <v>1.1000000000000001</v>
      </c>
      <c r="B8" s="121">
        <v>15</v>
      </c>
      <c r="C8" s="200"/>
      <c r="D8" s="120">
        <v>1.1000000000000001</v>
      </c>
      <c r="E8" s="121">
        <v>18</v>
      </c>
      <c r="F8" s="200"/>
      <c r="G8" s="120">
        <v>1.1000000000000001</v>
      </c>
      <c r="H8" s="121">
        <v>18</v>
      </c>
      <c r="I8" s="200"/>
      <c r="J8" s="120">
        <v>1.1000000000000001</v>
      </c>
      <c r="K8" s="121">
        <v>22</v>
      </c>
    </row>
    <row r="9" spans="1:13" ht="14" thickBot="1" x14ac:dyDescent="0.45">
      <c r="A9" s="120">
        <v>1.2</v>
      </c>
      <c r="B9" s="121">
        <v>12</v>
      </c>
      <c r="C9" s="200"/>
      <c r="D9" s="120">
        <v>1.2</v>
      </c>
      <c r="E9" s="121">
        <v>15</v>
      </c>
      <c r="F9" s="200"/>
      <c r="G9" s="120">
        <v>1.2</v>
      </c>
      <c r="H9" s="121">
        <v>16</v>
      </c>
      <c r="I9" s="200"/>
      <c r="J9" s="120">
        <v>1.2</v>
      </c>
      <c r="K9" s="121">
        <v>19</v>
      </c>
    </row>
    <row r="10" spans="1:13" ht="14" thickBot="1" x14ac:dyDescent="0.45">
      <c r="A10" s="120">
        <v>1.3</v>
      </c>
      <c r="B10" s="121">
        <v>11</v>
      </c>
      <c r="C10" s="200"/>
      <c r="D10" s="120">
        <v>1.3</v>
      </c>
      <c r="E10" s="121">
        <v>13</v>
      </c>
      <c r="F10" s="200"/>
      <c r="G10" s="120">
        <v>1.3</v>
      </c>
      <c r="H10" s="121">
        <v>13</v>
      </c>
      <c r="I10" s="200"/>
      <c r="J10" s="120">
        <v>1.3</v>
      </c>
      <c r="K10" s="121">
        <v>16</v>
      </c>
    </row>
    <row r="11" spans="1:13" ht="14" thickBot="1" x14ac:dyDescent="0.45">
      <c r="A11" s="120">
        <v>1.4</v>
      </c>
      <c r="B11" s="121">
        <v>9</v>
      </c>
      <c r="C11" s="200"/>
      <c r="D11" s="120">
        <v>1.4</v>
      </c>
      <c r="E11" s="121">
        <v>11</v>
      </c>
      <c r="F11" s="200"/>
      <c r="G11" s="120">
        <v>1.4</v>
      </c>
      <c r="H11" s="121">
        <v>12</v>
      </c>
      <c r="I11" s="200"/>
      <c r="J11" s="120">
        <v>1.4</v>
      </c>
      <c r="K11" s="121">
        <v>14</v>
      </c>
    </row>
    <row r="12" spans="1:13" ht="14" thickBot="1" x14ac:dyDescent="0.45">
      <c r="A12" s="120">
        <v>1.5</v>
      </c>
      <c r="B12" s="121">
        <v>8</v>
      </c>
      <c r="C12" s="200"/>
      <c r="D12" s="120">
        <v>1.5</v>
      </c>
      <c r="E12" s="121">
        <v>10</v>
      </c>
      <c r="F12" s="200"/>
      <c r="G12" s="120">
        <v>1.5</v>
      </c>
      <c r="H12" s="121">
        <v>10</v>
      </c>
      <c r="I12" s="200"/>
      <c r="J12" s="120">
        <v>1.5</v>
      </c>
      <c r="K12" s="121">
        <v>12</v>
      </c>
    </row>
    <row r="13" spans="1:13" ht="14" thickBot="1" x14ac:dyDescent="0.45">
      <c r="A13" s="120">
        <v>1.6</v>
      </c>
      <c r="B13" s="121">
        <v>7</v>
      </c>
      <c r="C13" s="200"/>
      <c r="D13" s="120">
        <v>1.6</v>
      </c>
      <c r="E13" s="121">
        <v>9</v>
      </c>
      <c r="F13" s="200"/>
      <c r="G13" s="120">
        <v>1.6</v>
      </c>
      <c r="H13" s="121">
        <v>9</v>
      </c>
      <c r="I13" s="200"/>
      <c r="J13" s="120">
        <v>1.6</v>
      </c>
      <c r="K13" s="121">
        <v>11</v>
      </c>
    </row>
    <row r="14" spans="1:13" ht="14" thickBot="1" x14ac:dyDescent="0.45">
      <c r="A14" s="120">
        <v>1.8</v>
      </c>
      <c r="B14" s="121">
        <v>6</v>
      </c>
      <c r="C14" s="200"/>
      <c r="D14" s="120">
        <v>1.8</v>
      </c>
      <c r="E14" s="121">
        <v>7</v>
      </c>
      <c r="F14" s="200"/>
      <c r="G14" s="120">
        <v>1.8</v>
      </c>
      <c r="H14" s="121">
        <v>7</v>
      </c>
      <c r="I14" s="200"/>
      <c r="J14" s="120">
        <v>1.8</v>
      </c>
      <c r="K14" s="121">
        <v>9</v>
      </c>
    </row>
    <row r="15" spans="1:13" ht="14" thickBot="1" x14ac:dyDescent="0.45">
      <c r="A15" s="120">
        <v>2</v>
      </c>
      <c r="B15" s="121">
        <v>5</v>
      </c>
      <c r="C15" s="200"/>
      <c r="D15" s="120">
        <v>2</v>
      </c>
      <c r="E15" s="121">
        <v>6</v>
      </c>
      <c r="F15" s="200"/>
      <c r="G15" s="120">
        <v>2</v>
      </c>
      <c r="H15" s="121">
        <v>6</v>
      </c>
      <c r="I15" s="200"/>
      <c r="J15" s="120">
        <v>2</v>
      </c>
      <c r="K15" s="121">
        <v>7</v>
      </c>
    </row>
    <row r="16" spans="1:13" ht="14" thickBot="1" x14ac:dyDescent="0.45">
      <c r="A16" s="120">
        <v>2.5</v>
      </c>
      <c r="B16" s="121" t="s">
        <v>136</v>
      </c>
      <c r="C16" s="200"/>
      <c r="D16" s="120">
        <v>2.5</v>
      </c>
      <c r="E16" s="121" t="s">
        <v>135</v>
      </c>
      <c r="F16" s="200"/>
      <c r="G16" s="120">
        <v>2.5</v>
      </c>
      <c r="H16" s="121" t="s">
        <v>135</v>
      </c>
      <c r="I16" s="200"/>
      <c r="J16" s="120">
        <v>2.5</v>
      </c>
      <c r="K16" s="121">
        <v>5</v>
      </c>
    </row>
    <row r="17" spans="1:11" ht="14" thickBot="1" x14ac:dyDescent="0.45">
      <c r="A17" s="120">
        <v>3</v>
      </c>
      <c r="B17" s="121" t="s">
        <v>142</v>
      </c>
      <c r="C17" s="200"/>
      <c r="D17" s="120">
        <v>3</v>
      </c>
      <c r="E17" s="121" t="s">
        <v>136</v>
      </c>
      <c r="F17" s="200"/>
      <c r="G17" s="120">
        <v>3</v>
      </c>
      <c r="H17" s="121" t="s">
        <v>136</v>
      </c>
      <c r="I17" s="200"/>
      <c r="J17" s="120">
        <v>3</v>
      </c>
      <c r="K17" s="121" t="s">
        <v>136</v>
      </c>
    </row>
    <row r="18" spans="1:11" ht="13.7" x14ac:dyDescent="0.4">
      <c r="A18" s="200"/>
      <c r="B18" s="200"/>
      <c r="C18" s="200"/>
      <c r="D18" s="200"/>
      <c r="E18" s="200"/>
      <c r="F18" s="200"/>
      <c r="G18" s="200"/>
      <c r="H18" s="200"/>
      <c r="I18" s="200"/>
      <c r="J18" s="200"/>
      <c r="K18" s="200"/>
    </row>
    <row r="19" spans="1:11" ht="13.7" x14ac:dyDescent="0.4">
      <c r="A19" s="115" t="s">
        <v>101</v>
      </c>
      <c r="B19" s="200"/>
      <c r="C19" s="200"/>
      <c r="D19" s="200"/>
      <c r="E19" s="200"/>
      <c r="F19" s="200"/>
      <c r="G19" s="200"/>
      <c r="H19" s="200"/>
      <c r="I19" s="200"/>
      <c r="J19" s="200"/>
      <c r="K19" s="200"/>
    </row>
    <row r="20" spans="1:11" ht="16.350000000000001" x14ac:dyDescent="0.4">
      <c r="A20" s="115" t="s">
        <v>144</v>
      </c>
      <c r="B20" s="200"/>
      <c r="C20" s="200"/>
      <c r="D20" s="200"/>
      <c r="E20" s="200"/>
      <c r="F20" s="200"/>
      <c r="G20" s="115" t="s">
        <v>141</v>
      </c>
      <c r="H20" s="116"/>
      <c r="I20" s="116"/>
      <c r="J20" s="115" t="s">
        <v>139</v>
      </c>
      <c r="K20" s="116"/>
    </row>
    <row r="21" spans="1:11" ht="14" thickBot="1" x14ac:dyDescent="0.45">
      <c r="A21" s="201" t="s">
        <v>130</v>
      </c>
      <c r="B21" s="201"/>
      <c r="C21" s="201"/>
      <c r="D21" s="201"/>
      <c r="E21" s="201"/>
      <c r="F21" s="201"/>
      <c r="G21" s="115" t="s">
        <v>145</v>
      </c>
      <c r="H21" s="116"/>
      <c r="I21" s="116"/>
      <c r="J21" s="115" t="s">
        <v>145</v>
      </c>
      <c r="K21" s="116"/>
    </row>
    <row r="22" spans="1:11" ht="14.7" customHeight="1" thickBot="1" x14ac:dyDescent="0.45">
      <c r="A22" s="200"/>
      <c r="B22" s="200"/>
      <c r="C22" s="200"/>
      <c r="D22" s="200"/>
      <c r="E22" s="200"/>
      <c r="F22" s="200"/>
      <c r="G22" s="117" t="s">
        <v>143</v>
      </c>
      <c r="H22" s="118" t="s">
        <v>102</v>
      </c>
      <c r="I22" s="119"/>
      <c r="J22" s="117" t="s">
        <v>143</v>
      </c>
      <c r="K22" s="118" t="s">
        <v>102</v>
      </c>
    </row>
    <row r="23" spans="1:11" ht="14" thickBot="1" x14ac:dyDescent="0.45">
      <c r="A23" s="209" t="s">
        <v>178</v>
      </c>
      <c r="B23" s="209"/>
      <c r="C23" s="209"/>
      <c r="D23" s="209"/>
      <c r="E23" s="209"/>
      <c r="F23" s="209"/>
      <c r="G23" s="120">
        <v>0.8</v>
      </c>
      <c r="H23" s="121">
        <v>20</v>
      </c>
      <c r="I23" s="200"/>
      <c r="J23" s="120">
        <v>0.8</v>
      </c>
      <c r="K23" s="121">
        <v>25</v>
      </c>
    </row>
    <row r="24" spans="1:11" ht="14" thickBot="1" x14ac:dyDescent="0.45">
      <c r="A24" s="200" t="s">
        <v>146</v>
      </c>
      <c r="B24" s="200"/>
      <c r="C24" s="200"/>
      <c r="D24" s="200"/>
      <c r="E24" s="200"/>
      <c r="F24" s="200"/>
      <c r="G24" s="120">
        <v>1</v>
      </c>
      <c r="H24" s="121">
        <v>13</v>
      </c>
      <c r="I24" s="200"/>
      <c r="J24" s="120">
        <v>1</v>
      </c>
      <c r="K24" s="121">
        <v>16</v>
      </c>
    </row>
    <row r="25" spans="1:11" ht="14" thickBot="1" x14ac:dyDescent="0.45">
      <c r="A25" s="200"/>
      <c r="B25" s="200"/>
      <c r="C25" s="200"/>
      <c r="D25" s="200"/>
      <c r="E25" s="200"/>
      <c r="F25" s="200"/>
      <c r="G25" s="120">
        <v>1.1000000000000001</v>
      </c>
      <c r="H25" s="121">
        <v>11</v>
      </c>
      <c r="I25" s="200"/>
      <c r="J25" s="120">
        <v>1.1000000000000001</v>
      </c>
      <c r="K25" s="121">
        <v>13</v>
      </c>
    </row>
    <row r="26" spans="1:11" ht="14" thickBot="1" x14ac:dyDescent="0.45">
      <c r="A26" s="200"/>
      <c r="B26" s="200"/>
      <c r="C26" s="200"/>
      <c r="D26" s="200"/>
      <c r="E26" s="200"/>
      <c r="F26" s="200"/>
      <c r="G26" s="120">
        <v>1.2</v>
      </c>
      <c r="H26" s="121">
        <v>9</v>
      </c>
      <c r="I26" s="200"/>
      <c r="J26" s="120">
        <v>1.2</v>
      </c>
      <c r="K26" s="121">
        <v>11</v>
      </c>
    </row>
    <row r="27" spans="1:11" ht="14" thickBot="1" x14ac:dyDescent="0.45">
      <c r="A27" s="200"/>
      <c r="B27" s="200"/>
      <c r="C27" s="200"/>
      <c r="D27" s="200"/>
      <c r="E27" s="200"/>
      <c r="F27" s="200"/>
      <c r="G27" s="120">
        <v>1.3</v>
      </c>
      <c r="H27" s="121">
        <v>8</v>
      </c>
      <c r="I27" s="200"/>
      <c r="J27" s="120">
        <v>1.3</v>
      </c>
      <c r="K27" s="121">
        <v>10</v>
      </c>
    </row>
    <row r="28" spans="1:11" ht="14" thickBot="1" x14ac:dyDescent="0.45">
      <c r="A28" s="200"/>
      <c r="B28" s="200"/>
      <c r="C28" s="200"/>
      <c r="D28" s="200"/>
      <c r="E28" s="200"/>
      <c r="F28" s="200"/>
      <c r="G28" s="120">
        <v>1.4</v>
      </c>
      <c r="H28" s="121">
        <v>7</v>
      </c>
      <c r="I28" s="200"/>
      <c r="J28" s="120">
        <v>1.4</v>
      </c>
      <c r="K28" s="121">
        <v>9</v>
      </c>
    </row>
    <row r="29" spans="1:11" ht="14" thickBot="1" x14ac:dyDescent="0.45">
      <c r="A29" s="200"/>
      <c r="B29" s="200"/>
      <c r="C29" s="200"/>
      <c r="D29" s="200"/>
      <c r="E29" s="200"/>
      <c r="F29" s="200"/>
      <c r="G29" s="120">
        <v>1.5</v>
      </c>
      <c r="H29" s="121">
        <v>6</v>
      </c>
      <c r="I29" s="200"/>
      <c r="J29" s="120">
        <v>1.5</v>
      </c>
      <c r="K29" s="121">
        <v>7</v>
      </c>
    </row>
    <row r="30" spans="1:11" ht="14" thickBot="1" x14ac:dyDescent="0.45">
      <c r="A30" s="200"/>
      <c r="B30" s="200"/>
      <c r="C30" s="200"/>
      <c r="D30" s="200"/>
      <c r="E30" s="200"/>
      <c r="F30" s="200"/>
      <c r="G30" s="120">
        <v>1.6</v>
      </c>
      <c r="H30" s="121">
        <v>5</v>
      </c>
      <c r="I30" s="200"/>
      <c r="J30" s="120">
        <v>1.6</v>
      </c>
      <c r="K30" s="121">
        <v>7</v>
      </c>
    </row>
    <row r="31" spans="1:11" ht="14" thickBot="1" x14ac:dyDescent="0.45">
      <c r="A31" s="200"/>
      <c r="B31" s="200"/>
      <c r="C31" s="200"/>
      <c r="D31" s="200"/>
      <c r="E31" s="200"/>
      <c r="F31" s="200"/>
      <c r="G31" s="120">
        <v>1.8</v>
      </c>
      <c r="H31" s="121" t="s">
        <v>135</v>
      </c>
      <c r="I31" s="200"/>
      <c r="J31" s="120">
        <v>1.8</v>
      </c>
      <c r="K31" s="121">
        <v>5</v>
      </c>
    </row>
    <row r="32" spans="1:11" ht="14" thickBot="1" x14ac:dyDescent="0.45">
      <c r="A32" s="200"/>
      <c r="B32" s="200"/>
      <c r="C32" s="200"/>
      <c r="D32" s="200"/>
      <c r="E32" s="200"/>
      <c r="F32" s="200"/>
      <c r="G32" s="120">
        <v>2</v>
      </c>
      <c r="H32" s="121" t="s">
        <v>135</v>
      </c>
      <c r="I32" s="200"/>
      <c r="J32" s="120">
        <v>2</v>
      </c>
      <c r="K32" s="121" t="s">
        <v>135</v>
      </c>
    </row>
    <row r="33" spans="1:11" ht="14" thickBot="1" x14ac:dyDescent="0.45">
      <c r="A33" s="200"/>
      <c r="B33" s="200"/>
      <c r="C33" s="200"/>
      <c r="D33" s="200"/>
      <c r="E33" s="200"/>
      <c r="F33" s="200"/>
      <c r="G33" s="120">
        <v>2.5</v>
      </c>
      <c r="H33" s="121" t="s">
        <v>142</v>
      </c>
      <c r="I33" s="200"/>
      <c r="J33" s="120">
        <v>2.5</v>
      </c>
      <c r="K33" s="121" t="s">
        <v>136</v>
      </c>
    </row>
    <row r="34" spans="1:11" ht="14" thickBot="1" x14ac:dyDescent="0.45">
      <c r="A34" s="200"/>
      <c r="B34" s="200"/>
      <c r="C34" s="200"/>
      <c r="D34" s="200"/>
      <c r="E34" s="200"/>
      <c r="F34" s="200"/>
      <c r="G34" s="120">
        <v>3</v>
      </c>
      <c r="H34" s="121" t="s">
        <v>142</v>
      </c>
      <c r="I34" s="200"/>
      <c r="J34" s="120">
        <v>3</v>
      </c>
      <c r="K34" s="121" t="s">
        <v>142</v>
      </c>
    </row>
  </sheetData>
  <sheetProtection selectLockedCells="1" selectUnlockedCells="1"/>
  <pageMargins left="0.7" right="0.7" top="0.75" bottom="0.75" header="0.3" footer="0.3"/>
  <pageSetup scale="63" orientation="landscape" r:id="rId1"/>
  <headerFooter>
    <oddHeader>&amp;C&amp;G</oddHeader>
    <oddFooter xml:space="preserve">&amp;RSunDx INTWKSHT20191021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CC74"/>
  <sheetViews>
    <sheetView topLeftCell="A18" zoomScale="80" zoomScaleNormal="80" workbookViewId="0">
      <selection activeCell="H56" sqref="H56"/>
    </sheetView>
  </sheetViews>
  <sheetFormatPr defaultRowHeight="12.7" x14ac:dyDescent="0.4"/>
  <cols>
    <col min="1" max="1" width="11.64453125" bestFit="1" customWidth="1"/>
    <col min="2" max="2" width="12.3515625" bestFit="1" customWidth="1"/>
    <col min="3" max="3" width="10.234375" bestFit="1" customWidth="1"/>
    <col min="4" max="4" width="9" bestFit="1" customWidth="1"/>
    <col min="7" max="7" width="11.64453125" bestFit="1" customWidth="1"/>
    <col min="8" max="8" width="9.64453125" customWidth="1"/>
    <col min="10" max="10" width="10.234375" customWidth="1"/>
    <col min="11" max="11" width="8.87890625" customWidth="1"/>
    <col min="12" max="12" width="12.41015625" customWidth="1"/>
    <col min="13" max="13" width="5.87890625" customWidth="1"/>
    <col min="14" max="14" width="8.87890625" customWidth="1"/>
    <col min="15" max="15" width="8.234375" customWidth="1"/>
    <col min="16" max="16" width="7.52734375" bestFit="1" customWidth="1"/>
    <col min="17" max="17" width="8.1171875" bestFit="1" customWidth="1"/>
    <col min="18" max="19" width="6.234375" bestFit="1" customWidth="1"/>
    <col min="20" max="20" width="7.52734375" bestFit="1" customWidth="1"/>
    <col min="21" max="21" width="6.234375" bestFit="1" customWidth="1"/>
    <col min="22" max="22" width="4.64453125" bestFit="1" customWidth="1"/>
    <col min="26" max="29" width="8.87890625" customWidth="1"/>
    <col min="77" max="78" width="9.1171875" style="111"/>
    <col min="79" max="79" width="6.1171875" style="111" customWidth="1"/>
    <col min="80" max="80" width="9.1171875" style="111" customWidth="1"/>
  </cols>
  <sheetData>
    <row r="1" spans="1:81" ht="13" thickBot="1" x14ac:dyDescent="0.45">
      <c r="A1" s="1" t="s">
        <v>8</v>
      </c>
      <c r="F1" s="1" t="s">
        <v>120</v>
      </c>
    </row>
    <row r="2" spans="1:81" ht="13" thickBot="1" x14ac:dyDescent="0.45">
      <c r="C2" s="49" t="s">
        <v>233</v>
      </c>
      <c r="J2" s="180"/>
      <c r="K2" s="310" t="s">
        <v>137</v>
      </c>
      <c r="L2" s="309"/>
      <c r="M2" s="308" t="s">
        <v>138</v>
      </c>
      <c r="N2" s="309"/>
      <c r="BV2" s="111"/>
      <c r="BW2" s="111"/>
      <c r="BX2" s="111"/>
      <c r="BZ2"/>
      <c r="CA2"/>
      <c r="CB2"/>
    </row>
    <row r="3" spans="1:81" ht="13.35" thickBot="1" x14ac:dyDescent="0.5">
      <c r="A3" s="317" t="s">
        <v>5</v>
      </c>
      <c r="B3" s="312"/>
      <c r="C3" s="318">
        <v>41040</v>
      </c>
      <c r="D3" s="319"/>
      <c r="E3" s="28"/>
      <c r="F3" s="320" t="s">
        <v>42</v>
      </c>
      <c r="G3" s="320"/>
      <c r="H3" s="321"/>
      <c r="I3" s="315" t="s">
        <v>41</v>
      </c>
      <c r="J3" s="316"/>
      <c r="M3" s="181" t="s">
        <v>170</v>
      </c>
      <c r="N3" s="176" t="s">
        <v>164</v>
      </c>
      <c r="O3" s="114" t="s">
        <v>165</v>
      </c>
      <c r="P3" s="113" t="s">
        <v>164</v>
      </c>
      <c r="Q3" s="114" t="s">
        <v>165</v>
      </c>
      <c r="S3" s="185" t="s">
        <v>171</v>
      </c>
      <c r="T3" s="169" t="s">
        <v>166</v>
      </c>
      <c r="U3" s="186" t="s">
        <v>163</v>
      </c>
      <c r="V3" s="189" t="s">
        <v>169</v>
      </c>
    </row>
    <row r="4" spans="1:81" x14ac:dyDescent="0.4">
      <c r="A4" s="311" t="s">
        <v>37</v>
      </c>
      <c r="B4" s="312"/>
      <c r="C4" s="336" t="s">
        <v>83</v>
      </c>
      <c r="D4" s="314"/>
      <c r="E4" s="22"/>
      <c r="F4" s="320" t="s">
        <v>43</v>
      </c>
      <c r="G4" s="320"/>
      <c r="H4" s="321"/>
      <c r="I4" s="332">
        <v>0.1</v>
      </c>
      <c r="J4" s="327"/>
      <c r="K4" s="42" t="str">
        <f>C5</f>
        <v>mg/dL</v>
      </c>
      <c r="M4" s="182">
        <v>0.2</v>
      </c>
      <c r="N4" s="177">
        <v>0.8</v>
      </c>
      <c r="O4" s="162">
        <v>0.84199999999999997</v>
      </c>
      <c r="P4" s="162">
        <v>0.8</v>
      </c>
      <c r="Q4" s="163">
        <v>1.282</v>
      </c>
      <c r="S4" s="182">
        <v>0.2</v>
      </c>
      <c r="T4" s="161">
        <v>0.8</v>
      </c>
      <c r="U4" s="187">
        <v>0.84199999999999997</v>
      </c>
      <c r="V4" s="190">
        <v>1</v>
      </c>
      <c r="W4" s="328"/>
      <c r="X4" s="329"/>
      <c r="BY4"/>
      <c r="CC4" s="111"/>
    </row>
    <row r="5" spans="1:81" ht="13" thickBot="1" x14ac:dyDescent="0.45">
      <c r="A5" s="311" t="s">
        <v>31</v>
      </c>
      <c r="B5" s="312"/>
      <c r="C5" s="330" t="s">
        <v>4</v>
      </c>
      <c r="D5" s="314"/>
      <c r="E5" s="22"/>
      <c r="F5" s="256" t="s">
        <v>231</v>
      </c>
      <c r="G5" s="253"/>
      <c r="H5" s="254"/>
      <c r="I5" s="323">
        <v>0.1</v>
      </c>
      <c r="J5" s="324"/>
      <c r="K5" s="265" t="s">
        <v>205</v>
      </c>
      <c r="M5" s="183">
        <v>0.15</v>
      </c>
      <c r="N5" s="178">
        <v>0.85</v>
      </c>
      <c r="O5" s="159">
        <v>1.036</v>
      </c>
      <c r="P5" s="160">
        <v>0.85</v>
      </c>
      <c r="Q5" s="165">
        <v>1.44</v>
      </c>
      <c r="S5" s="183">
        <v>0.15</v>
      </c>
      <c r="T5" s="164">
        <v>0.85</v>
      </c>
      <c r="U5" s="188">
        <v>1.036</v>
      </c>
      <c r="V5" s="191">
        <v>2</v>
      </c>
      <c r="BY5"/>
      <c r="CC5" s="111"/>
    </row>
    <row r="6" spans="1:81" x14ac:dyDescent="0.4">
      <c r="A6" s="311" t="s">
        <v>38</v>
      </c>
      <c r="B6" s="312"/>
      <c r="C6" s="325" t="s">
        <v>119</v>
      </c>
      <c r="D6" s="314"/>
      <c r="E6" s="22"/>
      <c r="F6" s="322" t="s">
        <v>232</v>
      </c>
      <c r="G6" s="320"/>
      <c r="H6" s="321"/>
      <c r="I6" s="326">
        <v>0.2</v>
      </c>
      <c r="J6" s="327"/>
      <c r="K6" s="264" t="str">
        <f>C5</f>
        <v>mg/dL</v>
      </c>
      <c r="M6" s="183">
        <v>0.1</v>
      </c>
      <c r="N6" s="178">
        <v>0.9</v>
      </c>
      <c r="O6" s="160">
        <v>1.282</v>
      </c>
      <c r="P6" s="160">
        <v>0.9</v>
      </c>
      <c r="Q6" s="165">
        <v>1.645</v>
      </c>
      <c r="S6" s="183">
        <v>0.1</v>
      </c>
      <c r="T6" s="164">
        <v>0.9</v>
      </c>
      <c r="U6" s="165">
        <v>1.282</v>
      </c>
      <c r="BY6"/>
      <c r="CC6" s="111"/>
    </row>
    <row r="7" spans="1:81" x14ac:dyDescent="0.4">
      <c r="A7" s="311" t="s">
        <v>39</v>
      </c>
      <c r="B7" s="312"/>
      <c r="C7" s="313">
        <v>12345</v>
      </c>
      <c r="D7" s="314"/>
      <c r="E7" s="22"/>
      <c r="F7" s="320" t="s">
        <v>167</v>
      </c>
      <c r="G7" s="320"/>
      <c r="H7" s="321"/>
      <c r="I7" s="335">
        <v>0.05</v>
      </c>
      <c r="J7" s="314"/>
      <c r="K7" s="4"/>
      <c r="M7" s="183">
        <v>0.05</v>
      </c>
      <c r="N7" s="178">
        <v>0.95</v>
      </c>
      <c r="O7" s="160">
        <v>1.645</v>
      </c>
      <c r="P7" s="160">
        <v>0.95</v>
      </c>
      <c r="Q7" s="165">
        <v>1.96</v>
      </c>
      <c r="S7" s="183">
        <v>0.05</v>
      </c>
      <c r="T7" s="164">
        <v>0.95</v>
      </c>
      <c r="U7" s="165">
        <v>1.645</v>
      </c>
      <c r="BY7"/>
      <c r="CC7" s="111"/>
    </row>
    <row r="8" spans="1:81" x14ac:dyDescent="0.4">
      <c r="A8" s="311" t="s">
        <v>40</v>
      </c>
      <c r="B8" s="312"/>
      <c r="C8" s="313">
        <v>98765</v>
      </c>
      <c r="D8" s="314"/>
      <c r="E8" s="22"/>
      <c r="F8" s="320" t="s">
        <v>168</v>
      </c>
      <c r="G8" s="320"/>
      <c r="H8" s="321"/>
      <c r="I8" s="335">
        <v>0.1</v>
      </c>
      <c r="J8" s="314"/>
      <c r="M8" s="183">
        <v>2.5000000000000001E-2</v>
      </c>
      <c r="N8" s="178">
        <v>0.97499999999999998</v>
      </c>
      <c r="O8" s="160">
        <v>1.96</v>
      </c>
      <c r="P8" s="160">
        <v>0.97499999999999998</v>
      </c>
      <c r="Q8" s="165">
        <v>2.2400000000000002</v>
      </c>
      <c r="S8" s="183">
        <v>2.5000000000000001E-2</v>
      </c>
      <c r="T8" s="164">
        <v>0.97499999999999998</v>
      </c>
      <c r="U8" s="165">
        <v>1.96</v>
      </c>
      <c r="BY8"/>
      <c r="CC8" s="111"/>
    </row>
    <row r="9" spans="1:81" ht="13" thickBot="1" x14ac:dyDescent="0.45">
      <c r="A9" s="311" t="s">
        <v>30</v>
      </c>
      <c r="B9" s="312"/>
      <c r="C9" s="330" t="s">
        <v>32</v>
      </c>
      <c r="D9" s="314"/>
      <c r="E9" s="22"/>
      <c r="F9" s="322" t="s">
        <v>172</v>
      </c>
      <c r="G9" s="320"/>
      <c r="H9" s="321"/>
      <c r="I9" s="333">
        <f>ROUNDUP(IF(AND(I7=0.2,I8=0.2),P12,IF(AND(I7=0.2,I8=0.15),P13,IF(AND(I7=0.2,I8=0.1),P14,IF(AND(I7=0.2,I8=0.05),P15,IF(AND(I7=0.2,I8=0.025),P16,IF(AND(I7=0.2,I8=0.01),P17,IF(AND(I7=0.15,I8=0.2),P18,IF(AND(I7=0.15,I8=0.15),P19,IF(AND(I7=0.15,I8=0.1),P20,IF(AND(I7=0.15,I8=0.05),P21,IF(AND(I7=0.15,I8=0.025),P22,IF(AND(I7=0.15,I8=0.01),P23,IF(AND(I7=0.1,I8=0.2),P24,IF(AND(I7=0.1,I8=0.15),P25,IF(AND(I7=0.1,I8=0.1),P26,IF(AND(I7=0.1,I8=0.05),P27,IF(AND(I7=0.1,I8=0.025),P28,IF(AND(I7=0.1,I8=0.01),P29,IF(AND(I7=0.05,I8=0.2),P30,IF(AND(I7=0.05,I8=0.15),P31,IF(AND(I7=0.05,I8=0.1),P32,IF(AND(I7=0.05,I8=0.05),P33,IF(AND(I7=0.05,I8=0.025),P34,IF(AND(I7=0.05,I8=0.01),P35,IF(AND(I7=0.025,I8=0.2),P36,IF(AND(I7=0.025,I8=0.1),P37,IF(AND(I7=0.025,I8=0.05),P38,IF(AND(I7=0.025,I8=0.025),P39,IF(AND(I7=0.025,I8=0.01),P40,IF(AND(I7=0.01,I8=0.2),P41,IF(AND(I7=0.01,I8=0.2),P42,IF(AND(I7=0.01,I8=0.15),P43,IF(AND(I7=0.01,I8=0.1),P44,IF(AND(I7=0.01,I8=0.05),P45,IF(AND(I7=0.01,I8=0.025),P46,IF(AND(I7=0.01,I8=0.01),P45)))))))))))))))))))))))))))))))))))),0)</f>
        <v>5</v>
      </c>
      <c r="J9" s="334"/>
      <c r="M9" s="184">
        <v>0.01</v>
      </c>
      <c r="N9" s="179">
        <v>0.99</v>
      </c>
      <c r="O9" s="167">
        <v>2.3260000000000001</v>
      </c>
      <c r="P9" s="167">
        <v>0.99</v>
      </c>
      <c r="Q9" s="168">
        <v>2.5760000000000001</v>
      </c>
      <c r="S9" s="184">
        <v>0.01</v>
      </c>
      <c r="T9" s="166">
        <v>0.99</v>
      </c>
      <c r="U9" s="168">
        <v>2.3260000000000001</v>
      </c>
      <c r="BY9"/>
      <c r="CC9" s="111"/>
    </row>
    <row r="10" spans="1:81" x14ac:dyDescent="0.4">
      <c r="A10" s="5"/>
      <c r="B10" s="22"/>
      <c r="C10" s="170"/>
      <c r="D10" s="22"/>
      <c r="E10" s="22"/>
      <c r="F10" s="322" t="s">
        <v>173</v>
      </c>
      <c r="G10" s="320"/>
      <c r="H10" s="321"/>
      <c r="I10" s="337">
        <f>ROUNDUP(IF(AND(I7=0.2,I8=0.2),T12,IF(AND(I7=0.2,I8=0.15),T13,IF(AND(I7=0.2,I8=0.1),T14,IF(AND(I7=0.2,I8=0.05),T15,IF(AND(I7=0.2,I8=0.025),T16,IF(AND(I7=0.2,I8=0.01),T17,IF(AND(I7=0.15,I8=0.2),T18,IF(AND(I7=0.15,I8=0.15),T19,IF(AND(I7=0.15,I8=0.1),T20,IF(AND(I7=0.15,I8=0.05),T21,IF(AND(I7=0.15,I8=0.025),T22,IF(AND(I7=0.15,I8=0.01),T23,IF(AND(I7=0.1,I8=0.2),T24,IF(AND(I7=0.1,I8=0.15),T25,IF(AND(I7=0.1,I8=0.1),T26,IF(AND(I7=0.1,I8=0.05),T27,IF(AND(I7=0.1,I8=0.025),T28,IF(AND(I7=0.1,I8=0.01),T29,IF(AND(I7=0.05,I8=0.2),T30,IF(AND(I7=0.05,I8=0.15),T31,IF(AND(I7=0.05,I8=0.1),T32,IF(AND(I7=0.05,I8=0.05),T33,IF(AND(I7=0.05,I8=0.025),T34,IF(AND(I7=0.05,I8=0.01),T35,IF(AND(I7=0.025,I8=0.2),T36,IF(AND(I7=0.025,I8=0.15),T37,IF(AND(I7=0.025,I8=0.1),T38,IF(AND(I7=0.025,I8=0.05),T39,IF(AND(I7=0.025,I8=0.025),T40,IF(AND(I7=0.025,I8=0.01),T41,IF(AND(I7=0.01,I8=0.2),T42,IF(AND(I7=0.01,I8=0.15),T43,IF(AND(I7=0.01,I8=0.1),T44,IF(AND(I7=0.01,I8=0.05),T45,IF(AND(I7=0.01,I8=0.025),T46,IF(AND(I7=0.01,I8=0.01),T47)))))))))))))))))))))))))))))))))))),0)</f>
        <v>6</v>
      </c>
      <c r="J10" s="334"/>
      <c r="K10" s="1"/>
      <c r="M10" s="22"/>
      <c r="N10" s="192"/>
      <c r="O10" s="192"/>
      <c r="P10" s="192"/>
      <c r="Q10" s="192"/>
      <c r="S10" s="22"/>
      <c r="T10" s="192"/>
      <c r="U10" s="192"/>
      <c r="V10" s="1"/>
      <c r="BY10"/>
      <c r="CB10" s="112"/>
      <c r="CC10" s="112"/>
    </row>
    <row r="11" spans="1:81" s="1" customFormat="1" x14ac:dyDescent="0.4">
      <c r="A11" s="1" t="s">
        <v>175</v>
      </c>
      <c r="B11" s="4"/>
      <c r="C11" s="9"/>
      <c r="D11" s="9"/>
      <c r="E11" s="4"/>
      <c r="F11" s="320" t="s">
        <v>68</v>
      </c>
      <c r="G11" s="320"/>
      <c r="H11" s="321"/>
      <c r="I11" s="331" t="s">
        <v>69</v>
      </c>
      <c r="J11" s="316"/>
      <c r="K11"/>
      <c r="M11" s="6" t="s">
        <v>169</v>
      </c>
      <c r="N11" s="6" t="s">
        <v>167</v>
      </c>
      <c r="O11" s="6" t="s">
        <v>168</v>
      </c>
      <c r="P11" s="6" t="s">
        <v>174</v>
      </c>
      <c r="Q11" s="6" t="s">
        <v>169</v>
      </c>
      <c r="R11" s="6" t="s">
        <v>167</v>
      </c>
      <c r="S11" s="6" t="s">
        <v>168</v>
      </c>
      <c r="T11" s="6" t="s">
        <v>174</v>
      </c>
      <c r="V11"/>
      <c r="BW11" s="112"/>
      <c r="BX11" s="112"/>
      <c r="BY11" s="111"/>
      <c r="BZ11" s="111"/>
    </row>
    <row r="12" spans="1:81" x14ac:dyDescent="0.4">
      <c r="A12" s="25" t="s">
        <v>33</v>
      </c>
      <c r="B12" s="24"/>
      <c r="C12" s="16"/>
      <c r="D12" s="17"/>
      <c r="E12" s="10"/>
      <c r="F12" s="2"/>
      <c r="G12" s="25" t="s">
        <v>34</v>
      </c>
      <c r="H12" s="24"/>
      <c r="I12" s="16"/>
      <c r="J12" s="17"/>
      <c r="M12" s="172">
        <v>1</v>
      </c>
      <c r="N12" s="171">
        <v>0.2</v>
      </c>
      <c r="O12" s="171">
        <v>0.2</v>
      </c>
      <c r="P12" s="175">
        <f>2*(((O4+U4)*($I$4/$I$6))^2)</f>
        <v>1.4179279999999999</v>
      </c>
      <c r="Q12" s="172">
        <v>2</v>
      </c>
      <c r="R12" s="171">
        <v>0.2</v>
      </c>
      <c r="S12" s="171">
        <v>0.2</v>
      </c>
      <c r="T12" s="175">
        <f>2*(((Q4+U4)*($I$4/$I$6))^2)</f>
        <v>2.2556880000000001</v>
      </c>
      <c r="BW12" s="111"/>
      <c r="BX12" s="111"/>
      <c r="CA12"/>
      <c r="CB12"/>
    </row>
    <row r="13" spans="1:81" x14ac:dyDescent="0.4">
      <c r="A13" s="26" t="s">
        <v>2</v>
      </c>
      <c r="B13" s="10" t="s">
        <v>7</v>
      </c>
      <c r="C13" s="26" t="s">
        <v>2</v>
      </c>
      <c r="D13" s="14" t="s">
        <v>36</v>
      </c>
      <c r="E13" s="8"/>
      <c r="F13" s="2"/>
      <c r="G13" s="26" t="s">
        <v>2</v>
      </c>
      <c r="H13" s="10" t="s">
        <v>7</v>
      </c>
      <c r="I13" s="26" t="s">
        <v>2</v>
      </c>
      <c r="J13" s="14" t="s">
        <v>36</v>
      </c>
      <c r="M13" s="172">
        <v>1</v>
      </c>
      <c r="N13" s="171">
        <v>0.2</v>
      </c>
      <c r="O13" s="171">
        <v>0.15</v>
      </c>
      <c r="P13" s="175">
        <f>2*(((O4+U5)*($I$4/$I$6))^2)</f>
        <v>1.7634420000000002</v>
      </c>
      <c r="Q13" s="172">
        <v>2</v>
      </c>
      <c r="R13" s="171">
        <v>0.2</v>
      </c>
      <c r="S13" s="171">
        <v>0.15</v>
      </c>
      <c r="T13" s="175">
        <f>2*(((Q4+U5)*($I$4/$I$6))^2)</f>
        <v>2.6865620000000003</v>
      </c>
      <c r="BW13" s="111"/>
      <c r="BX13" s="111"/>
      <c r="CA13"/>
      <c r="CB13"/>
    </row>
    <row r="14" spans="1:81" x14ac:dyDescent="0.4">
      <c r="A14" s="15" t="s">
        <v>9</v>
      </c>
      <c r="B14" s="210">
        <v>1.22</v>
      </c>
      <c r="C14" s="22" t="s">
        <v>19</v>
      </c>
      <c r="D14" s="210">
        <v>1.62</v>
      </c>
      <c r="E14" s="8"/>
      <c r="F14" s="2"/>
      <c r="G14" s="15" t="s">
        <v>9</v>
      </c>
      <c r="H14" s="211">
        <v>2.54</v>
      </c>
      <c r="I14" s="22" t="s">
        <v>19</v>
      </c>
      <c r="J14" s="211">
        <v>2.33</v>
      </c>
      <c r="M14" s="172">
        <v>1</v>
      </c>
      <c r="N14" s="171">
        <v>0.2</v>
      </c>
      <c r="O14" s="171">
        <v>0.1</v>
      </c>
      <c r="P14" s="175">
        <f>2*(((O4+U6)*($I$4/$I$6))^2)</f>
        <v>2.2556880000000001</v>
      </c>
      <c r="Q14" s="172">
        <v>2</v>
      </c>
      <c r="R14" s="171">
        <v>0.2</v>
      </c>
      <c r="S14" s="171">
        <v>0.1</v>
      </c>
      <c r="T14" s="175">
        <f>2*(((Q4+U6)*($I$4/$I$6))^2)</f>
        <v>3.287048</v>
      </c>
      <c r="BW14" s="111"/>
      <c r="BX14" s="111"/>
      <c r="CA14"/>
      <c r="CB14"/>
    </row>
    <row r="15" spans="1:81" x14ac:dyDescent="0.4">
      <c r="A15" s="15" t="s">
        <v>10</v>
      </c>
      <c r="B15" s="210">
        <v>1.32</v>
      </c>
      <c r="C15" s="22" t="s">
        <v>20</v>
      </c>
      <c r="D15" s="210">
        <v>1.59</v>
      </c>
      <c r="E15" s="8"/>
      <c r="F15" s="2"/>
      <c r="G15" s="15" t="s">
        <v>10</v>
      </c>
      <c r="H15" s="211">
        <v>2.48</v>
      </c>
      <c r="I15" s="22" t="s">
        <v>20</v>
      </c>
      <c r="J15" s="211">
        <v>2.31</v>
      </c>
      <c r="M15" s="172">
        <v>1</v>
      </c>
      <c r="N15" s="171">
        <v>0.2</v>
      </c>
      <c r="O15" s="171">
        <v>0.05</v>
      </c>
      <c r="P15" s="175">
        <f>2*(((O4+U7)*($I$4/$I$6))^2)</f>
        <v>3.0925845000000001</v>
      </c>
      <c r="Q15" s="172">
        <v>2</v>
      </c>
      <c r="R15" s="171">
        <v>0.2</v>
      </c>
      <c r="S15" s="171">
        <v>0.05</v>
      </c>
      <c r="T15" s="175">
        <f>2*(((Q4+U7)*($I$4/$I$6))^2)</f>
        <v>4.2836645000000004</v>
      </c>
      <c r="BW15" s="111"/>
      <c r="BX15" s="111"/>
      <c r="CA15"/>
      <c r="CB15"/>
    </row>
    <row r="16" spans="1:81" x14ac:dyDescent="0.4">
      <c r="A16" s="27" t="s">
        <v>11</v>
      </c>
      <c r="B16" s="210">
        <v>1.18</v>
      </c>
      <c r="C16" s="5" t="s">
        <v>21</v>
      </c>
      <c r="D16" s="210">
        <v>1.58</v>
      </c>
      <c r="E16" s="8"/>
      <c r="F16" s="2"/>
      <c r="G16" s="27" t="s">
        <v>11</v>
      </c>
      <c r="H16" s="211">
        <v>2.46</v>
      </c>
      <c r="I16" s="5" t="s">
        <v>21</v>
      </c>
      <c r="J16" s="211">
        <v>2.41</v>
      </c>
      <c r="M16" s="172">
        <v>1</v>
      </c>
      <c r="N16" s="171">
        <v>0.2</v>
      </c>
      <c r="O16" s="171">
        <v>2.5000000000000001E-2</v>
      </c>
      <c r="P16" s="175">
        <f>2*(((O4+U8)*($I$4/$I$6))^2)</f>
        <v>3.925602</v>
      </c>
      <c r="Q16" s="172">
        <v>2</v>
      </c>
      <c r="R16" s="171">
        <v>0.2</v>
      </c>
      <c r="S16" s="171">
        <v>2.5000000000000001E-2</v>
      </c>
      <c r="T16" s="175">
        <f>2*(((Q4+U8)*($I$4/$I$6))^2)</f>
        <v>5.2552820000000002</v>
      </c>
      <c r="BW16" s="111"/>
      <c r="BX16" s="111"/>
      <c r="CA16"/>
      <c r="CB16"/>
    </row>
    <row r="17" spans="1:80" x14ac:dyDescent="0.4">
      <c r="A17" s="27" t="s">
        <v>12</v>
      </c>
      <c r="B17" s="210">
        <v>1.2</v>
      </c>
      <c r="C17" s="5" t="s">
        <v>22</v>
      </c>
      <c r="D17" s="210">
        <v>1.6</v>
      </c>
      <c r="E17" s="8"/>
      <c r="F17" s="2"/>
      <c r="G17" s="27" t="s">
        <v>12</v>
      </c>
      <c r="H17" s="211">
        <v>2.54</v>
      </c>
      <c r="I17" s="5" t="s">
        <v>22</v>
      </c>
      <c r="J17" s="211">
        <v>2.41</v>
      </c>
      <c r="M17" s="172">
        <v>1</v>
      </c>
      <c r="N17" s="171">
        <v>0.2</v>
      </c>
      <c r="O17" s="171">
        <v>0.01</v>
      </c>
      <c r="P17" s="175">
        <f>2*(((O4+U9)*($I$4/$I$6))^2)</f>
        <v>5.0181120000000004</v>
      </c>
      <c r="Q17" s="172">
        <v>2</v>
      </c>
      <c r="R17" s="171">
        <v>0.2</v>
      </c>
      <c r="S17" s="171">
        <v>0.01</v>
      </c>
      <c r="T17" s="175">
        <f>2*(((Q4+U9)*($I$4/$I$6))^2)</f>
        <v>6.508832</v>
      </c>
      <c r="BW17" s="111"/>
      <c r="BX17" s="111"/>
      <c r="CA17"/>
      <c r="CB17"/>
    </row>
    <row r="18" spans="1:80" x14ac:dyDescent="0.4">
      <c r="A18" s="27" t="s">
        <v>13</v>
      </c>
      <c r="B18" s="210">
        <v>1.21</v>
      </c>
      <c r="C18" s="5" t="s">
        <v>23</v>
      </c>
      <c r="D18" s="211">
        <v>1.59</v>
      </c>
      <c r="E18" s="8"/>
      <c r="F18" s="2"/>
      <c r="G18" s="27" t="s">
        <v>13</v>
      </c>
      <c r="H18" s="211">
        <v>2.52</v>
      </c>
      <c r="I18" s="5" t="s">
        <v>23</v>
      </c>
      <c r="J18" s="211">
        <v>2.33</v>
      </c>
      <c r="M18" s="172">
        <v>1</v>
      </c>
      <c r="N18" s="171">
        <v>0.15</v>
      </c>
      <c r="O18" s="171">
        <v>0.2</v>
      </c>
      <c r="P18" s="175">
        <f>2*(((O5+U4)*($I$4/$I$6))^2)</f>
        <v>1.7634420000000002</v>
      </c>
      <c r="Q18" s="172">
        <v>2</v>
      </c>
      <c r="R18" s="171">
        <v>0.15</v>
      </c>
      <c r="S18" s="171">
        <v>0.2</v>
      </c>
      <c r="T18" s="175">
        <f>2*(((Q5+U4)*($I$4/$I$6))^2)</f>
        <v>2.6037620000000001</v>
      </c>
      <c r="BW18" s="111"/>
      <c r="BX18" s="111"/>
      <c r="CA18"/>
      <c r="CB18"/>
    </row>
    <row r="19" spans="1:80" x14ac:dyDescent="0.4">
      <c r="A19" s="27" t="s">
        <v>14</v>
      </c>
      <c r="B19" s="211"/>
      <c r="C19" s="5" t="s">
        <v>24</v>
      </c>
      <c r="D19" s="211"/>
      <c r="E19" s="8"/>
      <c r="F19" s="2"/>
      <c r="G19" s="27" t="s">
        <v>14</v>
      </c>
      <c r="H19" s="211"/>
      <c r="I19" s="5" t="s">
        <v>24</v>
      </c>
      <c r="J19" s="211"/>
      <c r="M19" s="172">
        <v>1</v>
      </c>
      <c r="N19" s="171">
        <v>0.15</v>
      </c>
      <c r="O19" s="171">
        <v>0.15</v>
      </c>
      <c r="P19" s="175">
        <f>2*(((O5+U5)*($I$4/$I$6))^2)</f>
        <v>2.1465920000000001</v>
      </c>
      <c r="Q19" s="172">
        <v>2</v>
      </c>
      <c r="R19" s="171">
        <v>0.15</v>
      </c>
      <c r="S19" s="171">
        <v>0.15</v>
      </c>
      <c r="T19" s="175">
        <f>2*(((Q5+U5)*($I$4/$I$6))^2)</f>
        <v>3.0652879999999998</v>
      </c>
      <c r="BW19" s="111"/>
      <c r="BX19" s="111"/>
      <c r="CA19"/>
      <c r="CB19"/>
    </row>
    <row r="20" spans="1:80" x14ac:dyDescent="0.4">
      <c r="A20" s="27" t="s">
        <v>15</v>
      </c>
      <c r="B20" s="211"/>
      <c r="C20" s="5" t="s">
        <v>25</v>
      </c>
      <c r="D20" s="211"/>
      <c r="E20" s="8"/>
      <c r="F20" s="2"/>
      <c r="G20" s="27" t="s">
        <v>15</v>
      </c>
      <c r="H20" s="211"/>
      <c r="I20" s="5" t="s">
        <v>25</v>
      </c>
      <c r="J20" s="211"/>
      <c r="M20" s="172">
        <v>1</v>
      </c>
      <c r="N20" s="171">
        <v>0.15</v>
      </c>
      <c r="O20" s="171">
        <v>0.1</v>
      </c>
      <c r="P20" s="175">
        <f>2*(((O5+U6)*($I$4/$I$6))^2)</f>
        <v>2.6865620000000003</v>
      </c>
      <c r="Q20" s="172">
        <v>2</v>
      </c>
      <c r="R20" s="171">
        <v>0.15</v>
      </c>
      <c r="S20" s="171">
        <v>0.1</v>
      </c>
      <c r="T20" s="175">
        <f>2*(((Q5+U6)*($I$4/$I$6))^2)</f>
        <v>3.7046419999999998</v>
      </c>
      <c r="BW20" s="111"/>
      <c r="BX20" s="111"/>
      <c r="CA20"/>
      <c r="CB20"/>
    </row>
    <row r="21" spans="1:80" x14ac:dyDescent="0.4">
      <c r="A21" s="27" t="s">
        <v>16</v>
      </c>
      <c r="B21" s="211"/>
      <c r="C21" s="5" t="s">
        <v>26</v>
      </c>
      <c r="D21" s="211"/>
      <c r="E21" s="8"/>
      <c r="F21" s="2"/>
      <c r="G21" s="27" t="s">
        <v>16</v>
      </c>
      <c r="H21" s="211"/>
      <c r="I21" s="5" t="s">
        <v>26</v>
      </c>
      <c r="J21" s="211"/>
      <c r="M21" s="172">
        <v>1</v>
      </c>
      <c r="N21" s="171">
        <v>0.15</v>
      </c>
      <c r="O21" s="171">
        <v>0.05</v>
      </c>
      <c r="P21" s="175">
        <f>2*(((O5+U7)*($I$4/$I$6))^2)</f>
        <v>3.5938805</v>
      </c>
      <c r="Q21" s="172">
        <v>2</v>
      </c>
      <c r="R21" s="171">
        <v>0.15</v>
      </c>
      <c r="S21" s="171">
        <v>0.05</v>
      </c>
      <c r="T21" s="175">
        <f>2*(((Q5+U7)*($I$4/$I$6))^2)</f>
        <v>4.7586124999999999</v>
      </c>
      <c r="BW21" s="111"/>
      <c r="BX21" s="111"/>
      <c r="CA21"/>
      <c r="CB21"/>
    </row>
    <row r="22" spans="1:80" x14ac:dyDescent="0.4">
      <c r="A22" s="27" t="s">
        <v>17</v>
      </c>
      <c r="B22" s="211"/>
      <c r="C22" s="5" t="s">
        <v>27</v>
      </c>
      <c r="D22" s="211"/>
      <c r="E22" s="8"/>
      <c r="F22" s="2"/>
      <c r="G22" s="27" t="s">
        <v>17</v>
      </c>
      <c r="H22" s="211"/>
      <c r="I22" s="5" t="s">
        <v>27</v>
      </c>
      <c r="J22" s="211"/>
      <c r="M22" s="172">
        <v>1</v>
      </c>
      <c r="N22" s="171">
        <v>0.15</v>
      </c>
      <c r="O22" s="171">
        <v>2.5000000000000001E-2</v>
      </c>
      <c r="P22" s="175">
        <f>2*(((O5+U8)*($I$4/$I$6))^2)</f>
        <v>4.4880079999999998</v>
      </c>
      <c r="Q22" s="172">
        <v>2</v>
      </c>
      <c r="R22" s="171">
        <v>0.15</v>
      </c>
      <c r="S22" s="171">
        <v>2.5000000000000001E-2</v>
      </c>
      <c r="T22" s="175">
        <f>2*(((Q5+U8)*($I$4/$I$6))^2)</f>
        <v>5.7799999999999994</v>
      </c>
      <c r="BW22" s="111"/>
      <c r="BX22" s="111"/>
      <c r="CA22"/>
      <c r="CB22"/>
    </row>
    <row r="23" spans="1:80" x14ac:dyDescent="0.4">
      <c r="A23" s="27" t="s">
        <v>18</v>
      </c>
      <c r="B23" s="211"/>
      <c r="C23" s="5" t="s">
        <v>28</v>
      </c>
      <c r="D23" s="211"/>
      <c r="E23" s="8"/>
      <c r="F23" s="2"/>
      <c r="G23" s="27" t="s">
        <v>18</v>
      </c>
      <c r="H23" s="211"/>
      <c r="I23" s="5" t="s">
        <v>28</v>
      </c>
      <c r="J23" s="211"/>
      <c r="M23" s="172">
        <v>1</v>
      </c>
      <c r="N23" s="171">
        <v>0.15</v>
      </c>
      <c r="O23" s="171">
        <v>0.01</v>
      </c>
      <c r="P23" s="175">
        <f>2*(((O5+U9)*($I$4/$I$6))^2)</f>
        <v>5.6515219999999999</v>
      </c>
      <c r="Q23" s="172">
        <v>2</v>
      </c>
      <c r="R23" s="171">
        <v>0.15</v>
      </c>
      <c r="S23" s="171">
        <v>0.01</v>
      </c>
      <c r="T23" s="175">
        <f>2*(((Q5+U9)*($I$4/$I$6))^2)</f>
        <v>7.0913779999999997</v>
      </c>
      <c r="BW23" s="111"/>
      <c r="BX23" s="111"/>
      <c r="CA23"/>
      <c r="CB23"/>
    </row>
    <row r="24" spans="1:80" x14ac:dyDescent="0.4">
      <c r="A24" s="27" t="s">
        <v>44</v>
      </c>
      <c r="B24" s="211"/>
      <c r="C24" s="5" t="s">
        <v>54</v>
      </c>
      <c r="D24" s="211"/>
      <c r="E24" s="8"/>
      <c r="F24" s="2"/>
      <c r="G24" s="27" t="s">
        <v>44</v>
      </c>
      <c r="H24" s="211"/>
      <c r="I24" s="5" t="s">
        <v>54</v>
      </c>
      <c r="J24" s="211"/>
      <c r="M24" s="172">
        <v>1</v>
      </c>
      <c r="N24" s="173">
        <v>0.1</v>
      </c>
      <c r="O24" s="171">
        <v>0.2</v>
      </c>
      <c r="P24" s="175">
        <f>2*(((O6+U4)*($I$4/$I$6))^2)</f>
        <v>2.2556880000000001</v>
      </c>
      <c r="Q24" s="172">
        <v>2</v>
      </c>
      <c r="R24" s="173">
        <v>0.1</v>
      </c>
      <c r="S24" s="171">
        <v>0.2</v>
      </c>
      <c r="T24" s="175">
        <f>2*(((Q6+U4)*($I$4/$I$6))^2)</f>
        <v>3.0925845000000001</v>
      </c>
      <c r="BW24" s="111"/>
      <c r="BX24" s="111"/>
      <c r="CA24"/>
      <c r="CB24"/>
    </row>
    <row r="25" spans="1:80" x14ac:dyDescent="0.4">
      <c r="A25" s="27" t="s">
        <v>45</v>
      </c>
      <c r="B25" s="211"/>
      <c r="C25" s="5" t="s">
        <v>55</v>
      </c>
      <c r="D25" s="211"/>
      <c r="E25" s="8"/>
      <c r="F25" s="2"/>
      <c r="G25" s="27" t="s">
        <v>45</v>
      </c>
      <c r="H25" s="211"/>
      <c r="I25" s="5" t="s">
        <v>55</v>
      </c>
      <c r="J25" s="211"/>
      <c r="M25" s="172">
        <v>1</v>
      </c>
      <c r="N25" s="173">
        <v>0.1</v>
      </c>
      <c r="O25" s="171">
        <v>0.15</v>
      </c>
      <c r="P25" s="175">
        <f>2*(((O6+U5)*($I$4/$I$6))^2)</f>
        <v>2.6865620000000003</v>
      </c>
      <c r="Q25" s="172">
        <v>2</v>
      </c>
      <c r="R25" s="173">
        <v>0.1</v>
      </c>
      <c r="S25" s="171">
        <v>0.15</v>
      </c>
      <c r="T25" s="175">
        <f>2*(((Q6+U5)*($I$4/$I$6))^2)</f>
        <v>3.5938805</v>
      </c>
      <c r="BW25" s="111"/>
      <c r="BX25" s="111"/>
      <c r="CA25"/>
      <c r="CB25"/>
    </row>
    <row r="26" spans="1:80" x14ac:dyDescent="0.4">
      <c r="A26" s="27" t="s">
        <v>46</v>
      </c>
      <c r="B26" s="211"/>
      <c r="C26" s="5" t="s">
        <v>56</v>
      </c>
      <c r="D26" s="211"/>
      <c r="E26" s="8"/>
      <c r="F26" s="2"/>
      <c r="G26" s="27" t="s">
        <v>46</v>
      </c>
      <c r="H26" s="211"/>
      <c r="I26" s="5" t="s">
        <v>56</v>
      </c>
      <c r="J26" s="211"/>
      <c r="M26" s="172">
        <v>1</v>
      </c>
      <c r="N26" s="173">
        <v>0.1</v>
      </c>
      <c r="O26" s="171">
        <v>0.1</v>
      </c>
      <c r="P26" s="175">
        <f>2*(((O6+U6)*($I$4/$I$6))^2)</f>
        <v>3.287048</v>
      </c>
      <c r="Q26" s="172">
        <v>2</v>
      </c>
      <c r="R26" s="173">
        <v>0.1</v>
      </c>
      <c r="S26" s="171">
        <v>0.1</v>
      </c>
      <c r="T26" s="175">
        <f>2*(((Q6+U6)*($I$4/$I$6))^2)</f>
        <v>4.2836645000000004</v>
      </c>
      <c r="BW26" s="111"/>
      <c r="BX26" s="111"/>
      <c r="CA26"/>
      <c r="CB26"/>
    </row>
    <row r="27" spans="1:80" x14ac:dyDescent="0.4">
      <c r="A27" s="27" t="s">
        <v>47</v>
      </c>
      <c r="B27" s="211"/>
      <c r="C27" s="5" t="s">
        <v>57</v>
      </c>
      <c r="D27" s="211"/>
      <c r="E27" s="8"/>
      <c r="F27" s="2"/>
      <c r="G27" s="27" t="s">
        <v>47</v>
      </c>
      <c r="H27" s="211"/>
      <c r="I27" s="5" t="s">
        <v>57</v>
      </c>
      <c r="J27" s="211"/>
      <c r="M27" s="172">
        <v>1</v>
      </c>
      <c r="N27" s="173">
        <v>0.1</v>
      </c>
      <c r="O27" s="171">
        <v>0.05</v>
      </c>
      <c r="P27" s="175">
        <f>2*(((O6+U7)*($I$4/$I$6))^2)</f>
        <v>4.2836645000000004</v>
      </c>
      <c r="Q27" s="172">
        <v>2</v>
      </c>
      <c r="R27" s="173">
        <v>0.1</v>
      </c>
      <c r="S27" s="171">
        <v>0.05</v>
      </c>
      <c r="T27" s="175">
        <f>2*(((Q6+U7)*($I$4/$I$6))^2)</f>
        <v>5.4120499999999998</v>
      </c>
      <c r="BW27" s="111"/>
      <c r="BX27" s="111"/>
      <c r="CA27"/>
      <c r="CB27"/>
    </row>
    <row r="28" spans="1:80" x14ac:dyDescent="0.4">
      <c r="A28" s="27" t="s">
        <v>48</v>
      </c>
      <c r="B28" s="211"/>
      <c r="C28" s="5" t="s">
        <v>58</v>
      </c>
      <c r="D28" s="211"/>
      <c r="E28" s="8"/>
      <c r="F28" s="2"/>
      <c r="G28" s="27" t="s">
        <v>48</v>
      </c>
      <c r="H28" s="211"/>
      <c r="I28" s="5" t="s">
        <v>58</v>
      </c>
      <c r="J28" s="211"/>
      <c r="M28" s="172">
        <v>1</v>
      </c>
      <c r="N28" s="173">
        <v>0.1</v>
      </c>
      <c r="O28" s="171">
        <v>2.5000000000000001E-2</v>
      </c>
      <c r="P28" s="175">
        <f>2*(((O6+U8)*($I$4/$I$6))^2)</f>
        <v>5.2552820000000002</v>
      </c>
      <c r="Q28" s="172">
        <v>2</v>
      </c>
      <c r="R28" s="173">
        <v>0.1</v>
      </c>
      <c r="S28" s="171">
        <v>2.5000000000000001E-2</v>
      </c>
      <c r="T28" s="175">
        <f>2*(((Q6+U8)*($I$4/$I$6))^2)</f>
        <v>6.4980124999999997</v>
      </c>
      <c r="BW28" s="111"/>
      <c r="BX28" s="111"/>
      <c r="CA28"/>
      <c r="CB28"/>
    </row>
    <row r="29" spans="1:80" x14ac:dyDescent="0.4">
      <c r="A29" s="27" t="s">
        <v>49</v>
      </c>
      <c r="B29" s="211"/>
      <c r="C29" s="5" t="s">
        <v>59</v>
      </c>
      <c r="D29" s="211"/>
      <c r="E29" s="8"/>
      <c r="F29" s="2"/>
      <c r="G29" s="27" t="s">
        <v>49</v>
      </c>
      <c r="H29" s="211"/>
      <c r="I29" s="5" t="s">
        <v>59</v>
      </c>
      <c r="J29" s="211"/>
      <c r="M29" s="172">
        <v>1</v>
      </c>
      <c r="N29" s="173">
        <v>0.1</v>
      </c>
      <c r="O29" s="171">
        <v>0.01</v>
      </c>
      <c r="P29" s="175">
        <f>2*(((O6+U9)*($I$4/$I$6))^2)</f>
        <v>6.508832</v>
      </c>
      <c r="Q29" s="172">
        <v>2</v>
      </c>
      <c r="R29" s="173">
        <v>0.1</v>
      </c>
      <c r="S29" s="171">
        <v>0.01</v>
      </c>
      <c r="T29" s="175">
        <f>2*(((Q6+U9)*($I$4/$I$6))^2)</f>
        <v>7.8844205000000001</v>
      </c>
      <c r="BW29" s="111"/>
      <c r="BX29" s="111"/>
      <c r="CA29"/>
      <c r="CB29"/>
    </row>
    <row r="30" spans="1:80" x14ac:dyDescent="0.4">
      <c r="A30" s="27" t="s">
        <v>50</v>
      </c>
      <c r="B30" s="211"/>
      <c r="C30" s="5" t="s">
        <v>60</v>
      </c>
      <c r="D30" s="211"/>
      <c r="E30" s="8"/>
      <c r="F30" s="2"/>
      <c r="G30" s="27" t="s">
        <v>50</v>
      </c>
      <c r="H30" s="211"/>
      <c r="I30" s="5" t="s">
        <v>60</v>
      </c>
      <c r="J30" s="211"/>
      <c r="M30" s="172">
        <v>1</v>
      </c>
      <c r="N30" s="173">
        <v>0.05</v>
      </c>
      <c r="O30" s="171">
        <v>0.2</v>
      </c>
      <c r="P30" s="175">
        <f>2*(((O7+U4)*($I$4/$I$6))^2)</f>
        <v>3.0925845000000001</v>
      </c>
      <c r="Q30" s="172">
        <v>2</v>
      </c>
      <c r="R30" s="173">
        <v>0.05</v>
      </c>
      <c r="S30" s="171">
        <v>0.2</v>
      </c>
      <c r="T30" s="175">
        <f>2*(((Q7+U4)*($I$4/$I$6))^2)</f>
        <v>3.925602</v>
      </c>
      <c r="BW30" s="111"/>
      <c r="BX30" s="111"/>
      <c r="CA30"/>
      <c r="CB30"/>
    </row>
    <row r="31" spans="1:80" x14ac:dyDescent="0.4">
      <c r="A31" s="27" t="s">
        <v>51</v>
      </c>
      <c r="B31" s="211"/>
      <c r="C31" s="5" t="s">
        <v>61</v>
      </c>
      <c r="D31" s="211"/>
      <c r="E31" s="8"/>
      <c r="F31" s="2"/>
      <c r="G31" s="27" t="s">
        <v>51</v>
      </c>
      <c r="H31" s="211"/>
      <c r="I31" s="5" t="s">
        <v>61</v>
      </c>
      <c r="J31" s="211"/>
      <c r="M31" s="172">
        <v>1</v>
      </c>
      <c r="N31" s="173">
        <v>0.05</v>
      </c>
      <c r="O31" s="171">
        <v>0.15</v>
      </c>
      <c r="P31" s="175">
        <f>2*(((O7+U5)*($I$4/$I$6))^2)</f>
        <v>3.5938805</v>
      </c>
      <c r="Q31" s="172">
        <v>2</v>
      </c>
      <c r="R31" s="173">
        <v>0.05</v>
      </c>
      <c r="S31" s="171">
        <v>0.15</v>
      </c>
      <c r="T31" s="175">
        <f>2*(((Q7+U5)*($I$4/$I$6))^2)</f>
        <v>4.4880079999999998</v>
      </c>
      <c r="BW31" s="111"/>
      <c r="BX31" s="111"/>
      <c r="CA31"/>
      <c r="CB31"/>
    </row>
    <row r="32" spans="1:80" x14ac:dyDescent="0.4">
      <c r="A32" s="27" t="s">
        <v>52</v>
      </c>
      <c r="B32" s="211"/>
      <c r="C32" s="5" t="s">
        <v>62</v>
      </c>
      <c r="D32" s="211"/>
      <c r="E32" s="8"/>
      <c r="F32" s="2"/>
      <c r="G32" s="27" t="s">
        <v>52</v>
      </c>
      <c r="H32" s="211"/>
      <c r="I32" s="5" t="s">
        <v>62</v>
      </c>
      <c r="J32" s="211"/>
      <c r="L32" s="12"/>
      <c r="M32" s="172">
        <v>1</v>
      </c>
      <c r="N32" s="173">
        <v>0.05</v>
      </c>
      <c r="O32" s="171">
        <v>0.1</v>
      </c>
      <c r="P32" s="175">
        <f>2*(((O7+U6)*($I$4/$I$6))^2)</f>
        <v>4.2836645000000004</v>
      </c>
      <c r="Q32" s="172">
        <v>2</v>
      </c>
      <c r="R32" s="173">
        <v>0.05</v>
      </c>
      <c r="S32" s="171">
        <v>0.1</v>
      </c>
      <c r="T32" s="175">
        <f>2*(((Q7+U6)*($I$4/$I$6))^2)</f>
        <v>5.2552820000000002</v>
      </c>
      <c r="BW32" s="111"/>
      <c r="BX32" s="111"/>
      <c r="CA32"/>
      <c r="CB32"/>
    </row>
    <row r="33" spans="1:80" x14ac:dyDescent="0.4">
      <c r="A33" s="27" t="s">
        <v>53</v>
      </c>
      <c r="B33" s="211"/>
      <c r="C33" s="5" t="s">
        <v>63</v>
      </c>
      <c r="D33" s="211"/>
      <c r="E33" s="2"/>
      <c r="F33" s="18"/>
      <c r="G33" s="27" t="s">
        <v>53</v>
      </c>
      <c r="H33" s="211"/>
      <c r="I33" s="5" t="s">
        <v>63</v>
      </c>
      <c r="J33" s="211"/>
      <c r="L33" s="12"/>
      <c r="M33" s="174">
        <v>1</v>
      </c>
      <c r="N33" s="173">
        <v>0.05</v>
      </c>
      <c r="O33" s="171">
        <v>0.05</v>
      </c>
      <c r="P33" s="175">
        <f>2*(((O7+U7)*($I$4/$I$6))^2)</f>
        <v>5.4120499999999998</v>
      </c>
      <c r="Q33" s="174">
        <v>2</v>
      </c>
      <c r="R33" s="173">
        <v>0.05</v>
      </c>
      <c r="S33" s="171">
        <v>0.05</v>
      </c>
      <c r="T33" s="175">
        <f>2*(((Q7+U7)*($I$4/$I$6))^2)</f>
        <v>6.4980124999999997</v>
      </c>
      <c r="BW33" s="111"/>
      <c r="BX33" s="111"/>
      <c r="CA33"/>
      <c r="CB33"/>
    </row>
    <row r="34" spans="1:80" x14ac:dyDescent="0.4">
      <c r="A34" s="2" t="s">
        <v>6</v>
      </c>
      <c r="B34" s="2">
        <f>COUNT($B$14:$B$33)</f>
        <v>5</v>
      </c>
      <c r="C34" s="2"/>
      <c r="D34" s="2">
        <f>COUNT($D$14:$D$33)</f>
        <v>5</v>
      </c>
      <c r="E34" s="2"/>
      <c r="F34" s="19"/>
      <c r="G34" s="2" t="s">
        <v>6</v>
      </c>
      <c r="H34" s="2">
        <f>COUNT($H$14:$H$33)</f>
        <v>5</v>
      </c>
      <c r="I34" s="2"/>
      <c r="J34" s="2">
        <f>COUNT($J$14:$J$33)</f>
        <v>5</v>
      </c>
      <c r="M34" s="172">
        <v>1</v>
      </c>
      <c r="N34" s="173">
        <v>0.05</v>
      </c>
      <c r="O34" s="171">
        <v>2.5000000000000001E-2</v>
      </c>
      <c r="P34" s="175">
        <f>2*(((O7+U8)*($I$4/$I$6))^2)</f>
        <v>6.4980124999999997</v>
      </c>
      <c r="Q34" s="172">
        <v>2</v>
      </c>
      <c r="R34" s="173">
        <v>0.05</v>
      </c>
      <c r="S34" s="171">
        <v>2.5000000000000001E-2</v>
      </c>
      <c r="T34" s="175">
        <f>2*(((Q7+U8)*($I$4/$I$6))^2)</f>
        <v>7.6831999999999994</v>
      </c>
      <c r="BW34" s="111"/>
      <c r="BX34" s="111"/>
      <c r="CA34"/>
      <c r="CB34"/>
    </row>
    <row r="35" spans="1:80" x14ac:dyDescent="0.4">
      <c r="A35" s="2" t="s">
        <v>1</v>
      </c>
      <c r="B35" s="13">
        <f>AVERAGE($B$14:$B$33)</f>
        <v>1.226</v>
      </c>
      <c r="C35" s="2"/>
      <c r="D35" s="13">
        <f>AVERAGE($D$14:$D$33)</f>
        <v>1.5960000000000001</v>
      </c>
      <c r="E35" s="18"/>
      <c r="F35" s="13"/>
      <c r="G35" s="2" t="s">
        <v>1</v>
      </c>
      <c r="H35" s="29">
        <f>AVERAGE($H$14:$H$33)</f>
        <v>2.508</v>
      </c>
      <c r="I35" s="2"/>
      <c r="J35" s="2">
        <f>AVERAGE($J$14:$J$33)</f>
        <v>2.3580000000000001</v>
      </c>
      <c r="M35" s="172">
        <v>1</v>
      </c>
      <c r="N35" s="173">
        <v>0.05</v>
      </c>
      <c r="O35" s="171">
        <v>0.01</v>
      </c>
      <c r="P35" s="175">
        <f>2*(((O7+U9)*($I$4/$I$6))^2)</f>
        <v>7.8844205000000001</v>
      </c>
      <c r="Q35" s="172">
        <v>2</v>
      </c>
      <c r="R35" s="173">
        <v>0.05</v>
      </c>
      <c r="S35" s="171">
        <v>0.01</v>
      </c>
      <c r="T35" s="175">
        <f>2*(((Q7+U9)*($I$4/$I$6))^2)</f>
        <v>9.1848979999999987</v>
      </c>
      <c r="BW35" s="111"/>
      <c r="BX35" s="111"/>
      <c r="CA35"/>
      <c r="CB35"/>
    </row>
    <row r="36" spans="1:80" x14ac:dyDescent="0.4">
      <c r="A36" s="2" t="s">
        <v>3</v>
      </c>
      <c r="B36" s="13">
        <f>STDEV($B$14:$B$33)</f>
        <v>5.4589376255824773E-2</v>
      </c>
      <c r="C36" s="18"/>
      <c r="D36" s="13">
        <f>STDEV($D$14:$D$33)</f>
        <v>1.5165750888103114E-2</v>
      </c>
      <c r="E36" s="19"/>
      <c r="F36" s="13"/>
      <c r="G36" s="2" t="s">
        <v>3</v>
      </c>
      <c r="H36" s="29">
        <f>STDEV($H$14:$H$33)</f>
        <v>3.633180424916993E-2</v>
      </c>
      <c r="I36" s="18"/>
      <c r="J36" s="29">
        <f>STDEV($J$14:$J$33)</f>
        <v>4.8166378315169227E-2</v>
      </c>
      <c r="M36" s="172">
        <v>1</v>
      </c>
      <c r="N36" s="173">
        <v>2.5000000000000001E-2</v>
      </c>
      <c r="O36" s="171">
        <v>0.2</v>
      </c>
      <c r="P36" s="175">
        <f>2*(((O8+U4)*($I$4/$I$6))^2)</f>
        <v>3.925602</v>
      </c>
      <c r="Q36" s="172">
        <v>2</v>
      </c>
      <c r="R36" s="173">
        <v>2.5000000000000001E-2</v>
      </c>
      <c r="S36" s="171">
        <v>0.2</v>
      </c>
      <c r="T36" s="175">
        <f>2*(((Q8+U4)*($I$4/$I$6))^2)</f>
        <v>4.7493620000000005</v>
      </c>
      <c r="BW36" s="111"/>
      <c r="BX36" s="111"/>
      <c r="CA36"/>
      <c r="CB36"/>
    </row>
    <row r="37" spans="1:80" x14ac:dyDescent="0.4">
      <c r="A37" s="2" t="s">
        <v>0</v>
      </c>
      <c r="B37" s="19">
        <f>$B$36/$B$35</f>
        <v>4.4526408039008786E-2</v>
      </c>
      <c r="C37" s="19"/>
      <c r="D37" s="19">
        <f>$D$36/$D$35</f>
        <v>9.5023501805157357E-3</v>
      </c>
      <c r="E37" s="23"/>
      <c r="G37" s="2" t="s">
        <v>0</v>
      </c>
      <c r="H37" s="19">
        <f>$H$36/$H$35</f>
        <v>1.448636533061002E-2</v>
      </c>
      <c r="I37" s="19"/>
      <c r="J37" s="19">
        <f>$J$36/$J$35</f>
        <v>2.0426793178612904E-2</v>
      </c>
      <c r="M37" s="172">
        <v>1</v>
      </c>
      <c r="N37" s="173">
        <v>2.5000000000000001E-2</v>
      </c>
      <c r="O37" s="171">
        <v>0.15</v>
      </c>
      <c r="P37" s="175">
        <f>2*(((O8+U5)*($I$4/$I$6))^2)</f>
        <v>4.4880079999999998</v>
      </c>
      <c r="Q37" s="172">
        <v>2</v>
      </c>
      <c r="R37" s="173">
        <v>2.5000000000000001E-2</v>
      </c>
      <c r="S37" s="171">
        <v>0.15</v>
      </c>
      <c r="T37" s="175">
        <f>2*(((Q8+U5)*($I$4/$I$6))^2)</f>
        <v>5.3660880000000004</v>
      </c>
      <c r="BW37" s="111"/>
      <c r="BX37" s="111"/>
      <c r="CA37"/>
      <c r="CB37"/>
    </row>
    <row r="38" spans="1:80" x14ac:dyDescent="0.4">
      <c r="A38" s="156" t="s">
        <v>177</v>
      </c>
      <c r="B38" s="19"/>
      <c r="C38" s="19"/>
      <c r="D38" s="23">
        <f>_xlfn.T.TEST($B$14:$B$33,$D$14:$D$33,1,2)</f>
        <v>2.371999828991139E-7</v>
      </c>
      <c r="E38" s="23"/>
      <c r="G38" s="156" t="s">
        <v>177</v>
      </c>
      <c r="H38" s="19"/>
      <c r="I38" s="19"/>
      <c r="J38" s="23">
        <f>_xlfn.T.TEST($H$14:$H$33,$J$14:$J$33,1,2)</f>
        <v>2.6753206907870474E-4</v>
      </c>
      <c r="M38" s="172">
        <v>1</v>
      </c>
      <c r="N38" s="173">
        <v>2.5000000000000001E-2</v>
      </c>
      <c r="O38" s="171">
        <v>0.1</v>
      </c>
      <c r="P38" s="175">
        <f>2*(((O8+U6)*($I$4/$I$6))^2)</f>
        <v>5.2552820000000002</v>
      </c>
      <c r="Q38" s="172">
        <v>2</v>
      </c>
      <c r="R38" s="173">
        <v>2.5000000000000001E-2</v>
      </c>
      <c r="S38" s="171">
        <v>0.1</v>
      </c>
      <c r="T38" s="175">
        <f>2*(((Q8+U6)*($I$4/$I$6))^2)</f>
        <v>6.2022420000000009</v>
      </c>
      <c r="BW38" s="111"/>
      <c r="BX38" s="111"/>
      <c r="CA38"/>
      <c r="CB38"/>
    </row>
    <row r="39" spans="1:80" x14ac:dyDescent="0.4">
      <c r="A39" s="156" t="s">
        <v>159</v>
      </c>
      <c r="B39" s="23"/>
      <c r="C39" s="23"/>
      <c r="D39" s="23">
        <f>_xlfn.T.TEST($B$14:$B$33,$D$14:$D$33,2,2)</f>
        <v>4.743999657982278E-7</v>
      </c>
      <c r="E39" s="23"/>
      <c r="G39" s="156" t="s">
        <v>159</v>
      </c>
      <c r="H39" s="23"/>
      <c r="I39" s="23"/>
      <c r="J39" s="23">
        <f>_xlfn.T.TEST($H$14:$H$33,$J$14:$J$33,2,2)</f>
        <v>5.3506413815740948E-4</v>
      </c>
      <c r="M39" s="172">
        <v>1</v>
      </c>
      <c r="N39" s="173">
        <v>2.5000000000000001E-2</v>
      </c>
      <c r="O39" s="171">
        <v>0.05</v>
      </c>
      <c r="P39" s="175">
        <f>2*(((O8+U7)*($I$4/$I$6))^2)</f>
        <v>6.4980124999999997</v>
      </c>
      <c r="Q39" s="172">
        <v>2</v>
      </c>
      <c r="R39" s="173">
        <v>2.5000000000000001E-2</v>
      </c>
      <c r="S39" s="171">
        <v>0.05</v>
      </c>
      <c r="T39" s="175">
        <f>2*(((Q8+U7)*($I$4/$I$6))^2)</f>
        <v>7.5466125000000011</v>
      </c>
      <c r="BW39" s="111"/>
      <c r="BX39" s="111"/>
      <c r="CA39"/>
      <c r="CB39"/>
    </row>
    <row r="40" spans="1:80" x14ac:dyDescent="0.4">
      <c r="A40" s="6"/>
      <c r="B40" s="23"/>
      <c r="C40" s="23"/>
      <c r="E40" s="23"/>
      <c r="G40" s="3"/>
      <c r="H40" s="13"/>
      <c r="I40" s="13"/>
      <c r="J40" s="13"/>
      <c r="M40" s="172">
        <v>1</v>
      </c>
      <c r="N40" s="173">
        <v>2.5000000000000001E-2</v>
      </c>
      <c r="O40" s="171">
        <v>2.5000000000000001E-2</v>
      </c>
      <c r="P40" s="175">
        <f>2*(((O8+U8)*($I$4/$I$6))^2)</f>
        <v>7.6831999999999994</v>
      </c>
      <c r="Q40" s="172">
        <v>2</v>
      </c>
      <c r="R40" s="173">
        <v>2.5000000000000001E-2</v>
      </c>
      <c r="S40" s="171">
        <v>2.5000000000000001E-2</v>
      </c>
      <c r="T40" s="175">
        <f>2*(((Q8+U8)*($I$4/$I$6))^2)</f>
        <v>8.82</v>
      </c>
      <c r="BW40" s="111"/>
      <c r="BX40" s="111"/>
      <c r="CA40"/>
      <c r="CB40"/>
    </row>
    <row r="41" spans="1:80" x14ac:dyDescent="0.4">
      <c r="A41" t="s">
        <v>29</v>
      </c>
      <c r="E41" s="29">
        <f>$D$35-$B$35</f>
        <v>0.37000000000000011</v>
      </c>
      <c r="G41" t="s">
        <v>29</v>
      </c>
      <c r="K41" s="29">
        <f>$J$35-$H$35</f>
        <v>-0.14999999999999991</v>
      </c>
      <c r="M41" s="172">
        <v>1</v>
      </c>
      <c r="N41" s="173">
        <v>2.5000000000000001E-2</v>
      </c>
      <c r="O41" s="171">
        <v>0.01</v>
      </c>
      <c r="P41" s="175">
        <f>2*(((O8+U9)*($I$4/$I$6))^2)</f>
        <v>9.1848979999999987</v>
      </c>
      <c r="Q41" s="172">
        <v>2</v>
      </c>
      <c r="R41" s="173">
        <v>2.5000000000000001E-2</v>
      </c>
      <c r="S41" s="171">
        <v>0.01</v>
      </c>
      <c r="T41" s="175">
        <f>2*(((Q8+U9)*($I$4/$I$6))^2)</f>
        <v>10.424178000000003</v>
      </c>
      <c r="BW41" s="111"/>
      <c r="BX41" s="111"/>
      <c r="CA41"/>
      <c r="CB41"/>
    </row>
    <row r="42" spans="1:80" x14ac:dyDescent="0.4">
      <c r="A42" s="49" t="s">
        <v>129</v>
      </c>
      <c r="E42" s="122">
        <f>$E$41/$B$35</f>
        <v>0.30179445350734102</v>
      </c>
      <c r="G42" s="49" t="s">
        <v>129</v>
      </c>
      <c r="K42" s="122">
        <f>$K$41/$H$35</f>
        <v>-5.9808612440191353E-2</v>
      </c>
      <c r="M42" s="172">
        <v>1</v>
      </c>
      <c r="N42" s="173">
        <v>0.01</v>
      </c>
      <c r="O42" s="171">
        <v>0.2</v>
      </c>
      <c r="P42" s="175">
        <f>2*(((O9+U4)*($I$4/$I$6))^2)</f>
        <v>5.0181120000000004</v>
      </c>
      <c r="Q42" s="172">
        <v>2</v>
      </c>
      <c r="R42" s="173">
        <v>0.01</v>
      </c>
      <c r="S42" s="171">
        <v>0.2</v>
      </c>
      <c r="T42" s="175">
        <f>2*(((Q9+U4)*($I$4/$I$6))^2)</f>
        <v>5.8413620000000002</v>
      </c>
      <c r="BW42" s="111"/>
      <c r="BX42" s="111"/>
      <c r="CA42"/>
      <c r="CB42"/>
    </row>
    <row r="43" spans="1:80" x14ac:dyDescent="0.4">
      <c r="A43" s="49" t="s">
        <v>117</v>
      </c>
      <c r="E43" s="18">
        <f>$E$41+$O$55</f>
        <v>0.42842888460302453</v>
      </c>
      <c r="F43" s="1"/>
      <c r="G43" s="49" t="s">
        <v>117</v>
      </c>
      <c r="K43" s="18">
        <f>$K$41+$O$62</f>
        <v>-8.7780606784465309E-2</v>
      </c>
      <c r="M43" s="172">
        <v>1</v>
      </c>
      <c r="N43" s="173">
        <v>0.01</v>
      </c>
      <c r="O43" s="171">
        <v>0.15</v>
      </c>
      <c r="P43" s="175">
        <f>2*(((O9+U5)*($I$4/$I$6))^2)</f>
        <v>5.6515219999999999</v>
      </c>
      <c r="Q43" s="172">
        <v>2</v>
      </c>
      <c r="R43" s="173">
        <v>0.01</v>
      </c>
      <c r="S43" s="171">
        <v>0.15</v>
      </c>
      <c r="T43" s="175">
        <f>2*(((Q9+U5)*($I$4/$I$6))^2)</f>
        <v>6.5232720000000004</v>
      </c>
      <c r="V43" s="1"/>
      <c r="BW43" s="111"/>
      <c r="BX43" s="111"/>
      <c r="CA43"/>
      <c r="CB43"/>
    </row>
    <row r="44" spans="1:80" s="1" customFormat="1" x14ac:dyDescent="0.4">
      <c r="A44" s="49" t="s">
        <v>118</v>
      </c>
      <c r="B44"/>
      <c r="C44"/>
      <c r="D44"/>
      <c r="E44" s="18">
        <f>E41-O55</f>
        <v>0.31157111539697568</v>
      </c>
      <c r="G44" s="49" t="s">
        <v>118</v>
      </c>
      <c r="H44"/>
      <c r="I44"/>
      <c r="J44"/>
      <c r="K44" s="18">
        <f>$K$41-$O$62</f>
        <v>-0.21221939321553451</v>
      </c>
      <c r="M44" s="172">
        <v>1</v>
      </c>
      <c r="N44" s="173">
        <v>0.01</v>
      </c>
      <c r="O44" s="171">
        <v>0.1</v>
      </c>
      <c r="P44" s="175">
        <f>2*(((O9+U6)*($I$4/$I$6))^2)</f>
        <v>6.508832</v>
      </c>
      <c r="Q44" s="172">
        <v>2</v>
      </c>
      <c r="R44" s="173">
        <v>0.01</v>
      </c>
      <c r="S44" s="171">
        <v>0.1</v>
      </c>
      <c r="T44" s="175">
        <f>2*(((Q9+U6)*($I$4/$I$6))^2)</f>
        <v>7.4420820000000001</v>
      </c>
      <c r="BW44" s="112"/>
      <c r="BX44" s="112"/>
      <c r="BY44" s="111"/>
      <c r="BZ44" s="111"/>
    </row>
    <row r="45" spans="1:80" s="1" customFormat="1" x14ac:dyDescent="0.4">
      <c r="A45"/>
      <c r="B45"/>
      <c r="C45"/>
      <c r="D45" s="18"/>
      <c r="E45" s="18"/>
      <c r="G45"/>
      <c r="H45"/>
      <c r="I45"/>
      <c r="J45" s="18"/>
      <c r="K45"/>
      <c r="M45" s="172">
        <v>1</v>
      </c>
      <c r="N45" s="173">
        <v>0.01</v>
      </c>
      <c r="O45" s="171">
        <v>0.05</v>
      </c>
      <c r="P45" s="175">
        <f>2*(((O9+U7)*($I$4/$I$6))^2)</f>
        <v>7.8844205000000001</v>
      </c>
      <c r="Q45" s="172">
        <v>2</v>
      </c>
      <c r="R45" s="173">
        <v>0.01</v>
      </c>
      <c r="S45" s="171">
        <v>0.05</v>
      </c>
      <c r="T45" s="175">
        <f>2*(((Q9+U7)*($I$4/$I$6))^2)</f>
        <v>8.9084205000000001</v>
      </c>
      <c r="BW45" s="112"/>
      <c r="BX45" s="112"/>
      <c r="BY45" s="111"/>
      <c r="BZ45" s="111"/>
    </row>
    <row r="46" spans="1:80" s="1" customFormat="1" x14ac:dyDescent="0.4">
      <c r="A46" s="21" t="s">
        <v>64</v>
      </c>
      <c r="D46" s="20"/>
      <c r="E46" s="20"/>
      <c r="M46" s="172">
        <v>1</v>
      </c>
      <c r="N46" s="173">
        <v>0.01</v>
      </c>
      <c r="O46" s="171">
        <v>2.5000000000000001E-2</v>
      </c>
      <c r="P46" s="175">
        <f>2*(((O9+U8)*($I$4/$I$6))^2)</f>
        <v>9.1848979999999987</v>
      </c>
      <c r="Q46" s="172">
        <v>2</v>
      </c>
      <c r="R46" s="173">
        <v>0.01</v>
      </c>
      <c r="S46" s="171">
        <v>2.5000000000000001E-2</v>
      </c>
      <c r="T46" s="175">
        <f>2*(((Q9+U8)*($I$4/$I$6))^2)</f>
        <v>10.287647999999999</v>
      </c>
      <c r="BW46" s="112"/>
      <c r="BX46" s="112"/>
      <c r="BY46" s="111"/>
      <c r="BZ46" s="111"/>
    </row>
    <row r="47" spans="1:80" s="1" customFormat="1" x14ac:dyDescent="0.4">
      <c r="A47" s="12" t="str">
        <f>IF(D$38&gt;=0.05, "The difference between Test and Control Pools is NOT statistically significant.", "The difference between Test and Control Pools IS statistically significant with a 1-tailed test.")</f>
        <v>The difference between Test and Control Pools IS statistically significant with a 1-tailed test.</v>
      </c>
      <c r="D47" s="20"/>
      <c r="E47" s="20"/>
      <c r="M47" s="172">
        <v>1</v>
      </c>
      <c r="N47" s="173">
        <v>0.01</v>
      </c>
      <c r="O47" s="171">
        <v>0.01</v>
      </c>
      <c r="P47" s="175">
        <f>2*(((O9+U9)*($I$4/$I$6))^2)</f>
        <v>10.820552000000001</v>
      </c>
      <c r="Q47" s="172">
        <v>2</v>
      </c>
      <c r="R47" s="173">
        <v>0.01</v>
      </c>
      <c r="S47" s="171">
        <v>0.01</v>
      </c>
      <c r="T47" s="175">
        <f>2*(((Q9+U9)*($I$4/$I$6))^2)</f>
        <v>12.014802000000001</v>
      </c>
      <c r="BW47" s="112"/>
      <c r="BX47" s="112"/>
      <c r="BY47" s="111"/>
      <c r="BZ47" s="111"/>
    </row>
    <row r="48" spans="1:80" s="1" customFormat="1" x14ac:dyDescent="0.4">
      <c r="A48" s="12" t="str">
        <f>IF(D$39&gt;=0.05, "The difference between Test and Control Pools is NOT statistically significant.", "The difference between Test and Control Pools IS statistically significant with a 2-tailed test.")</f>
        <v>The difference between Test and Control Pools IS statistically significant with a 2-tailed test.</v>
      </c>
      <c r="D48" s="20"/>
      <c r="E48" s="20"/>
      <c r="M48" s="172"/>
      <c r="N48" s="173"/>
      <c r="O48" s="171"/>
      <c r="P48" s="175"/>
      <c r="Q48" s="172"/>
      <c r="R48" s="173"/>
      <c r="S48" s="171"/>
      <c r="T48" s="175"/>
      <c r="BW48" s="112"/>
      <c r="BX48" s="112"/>
      <c r="BY48" s="111"/>
      <c r="BZ48" s="111"/>
    </row>
    <row r="49" spans="1:80" s="1" customFormat="1" x14ac:dyDescent="0.4">
      <c r="A49" s="1" t="str">
        <f>IF(OR(ABS($E$41)&lt;=$I$6,ABS($E$42)&lt;=$I$5), "The difference is &lt; the acceptable limit (Dmax), indicating that Interference is NOT Clinically Significant", "The difference is &gt; the acceptable limit (Dmax), indicating that Interference is Clinically Significant")</f>
        <v>The difference is &gt; the acceptable limit (Dmax), indicating that Interference is Clinically Significant</v>
      </c>
      <c r="D49" s="20"/>
      <c r="E49" s="20"/>
      <c r="M49"/>
      <c r="N49"/>
      <c r="O49"/>
      <c r="P49"/>
      <c r="Q49"/>
      <c r="R49"/>
      <c r="S49"/>
      <c r="T49"/>
      <c r="V49"/>
      <c r="BW49" s="112"/>
      <c r="BX49" s="112"/>
      <c r="BY49" s="111"/>
      <c r="BZ49" s="111"/>
    </row>
    <row r="50" spans="1:80" x14ac:dyDescent="0.4">
      <c r="A50" s="21"/>
      <c r="B50" s="1"/>
      <c r="C50" s="1"/>
      <c r="D50" s="20"/>
      <c r="E50" s="20"/>
      <c r="G50" s="1"/>
      <c r="H50" s="1"/>
      <c r="I50" s="1"/>
      <c r="J50" s="1"/>
      <c r="K50" s="1"/>
      <c r="N50" s="1" t="s">
        <v>33</v>
      </c>
      <c r="Q50" s="1"/>
    </row>
    <row r="51" spans="1:80" x14ac:dyDescent="0.4">
      <c r="A51" s="21" t="s">
        <v>65</v>
      </c>
      <c r="B51" s="1"/>
      <c r="C51" s="1"/>
      <c r="D51" s="20"/>
      <c r="E51" s="20"/>
      <c r="G51" s="1"/>
      <c r="H51" s="1"/>
      <c r="I51" s="1"/>
      <c r="J51" s="1"/>
      <c r="K51" s="1"/>
      <c r="N51" s="49" t="s">
        <v>151</v>
      </c>
      <c r="O51">
        <v>0.05</v>
      </c>
    </row>
    <row r="52" spans="1:80" x14ac:dyDescent="0.4">
      <c r="A52" s="12" t="str">
        <f>IF(J$38&gt;=0.05, "The difference between Test and Control Pools is NOT statistically significant.", "The difference between Test and Control Pools IS statistically significant with a 1-tailed test.")</f>
        <v>The difference between Test and Control Pools IS statistically significant with a 1-tailed test.</v>
      </c>
      <c r="D52" s="18"/>
      <c r="E52" s="18"/>
      <c r="F52" s="1"/>
      <c r="G52" s="12"/>
      <c r="M52" s="1"/>
      <c r="N52" s="49" t="s">
        <v>79</v>
      </c>
      <c r="O52">
        <f>$B$34+$D$34-2</f>
        <v>8</v>
      </c>
      <c r="Q52" s="49" t="s">
        <v>223</v>
      </c>
      <c r="R52" s="1"/>
      <c r="S52" s="1"/>
      <c r="T52" s="1"/>
      <c r="V52" s="1"/>
    </row>
    <row r="53" spans="1:80" s="1" customFormat="1" x14ac:dyDescent="0.4">
      <c r="A53" s="12" t="str">
        <f>IF(J$39&gt;=0.05, "The difference between Test and Control Pools is NOT statistically significant.", "The difference between Test and Control Pools IS statistically significant with a 2-tailed test.")</f>
        <v>The difference between Test and Control Pools IS statistically significant with a 2-tailed test.</v>
      </c>
      <c r="B53"/>
      <c r="C53"/>
      <c r="D53" s="18"/>
      <c r="E53" s="18"/>
      <c r="G53" s="12"/>
      <c r="H53"/>
      <c r="I53"/>
      <c r="J53"/>
      <c r="K53"/>
      <c r="M53"/>
      <c r="N53" s="49" t="s">
        <v>150</v>
      </c>
      <c r="O53">
        <f>_xlfn.T.INV.2T($O$51,$O$52)</f>
        <v>2.3060041352041671</v>
      </c>
      <c r="P53"/>
      <c r="Q53" s="49" t="s">
        <v>224</v>
      </c>
      <c r="R53"/>
      <c r="S53"/>
      <c r="T53"/>
      <c r="V53"/>
      <c r="BY53" s="112"/>
      <c r="BZ53" s="112"/>
      <c r="CA53" s="112"/>
      <c r="CB53" s="112"/>
    </row>
    <row r="54" spans="1:80" x14ac:dyDescent="0.4">
      <c r="A54" s="1" t="str">
        <f>IF(OR(ABS($K$41)&lt;=$I$6, ABS($K$42)&lt;$I$5),"The difference is &lt; the acceptable limit (Dmax), indicating that Interference is NOT Clinically Significant", "The difference is &gt; the acceptable limit (Dmax), indicating that Interference is Clinically Significant")</f>
        <v>The difference is &lt; the acceptable limit (Dmax), indicating that Interference is NOT Clinically Significant</v>
      </c>
      <c r="D54" s="18"/>
      <c r="E54" s="18"/>
      <c r="J54" s="12"/>
      <c r="O54" s="49">
        <f>SQRT((($B$36^2)/$B$34)+(($D$36^2)/$D$34))</f>
        <v>2.5337718918639878E-2</v>
      </c>
      <c r="Q54" t="s">
        <v>225</v>
      </c>
      <c r="BV54" s="111"/>
      <c r="BW54" s="111"/>
      <c r="BX54" s="111"/>
      <c r="BZ54"/>
      <c r="CA54"/>
      <c r="CB54"/>
    </row>
    <row r="55" spans="1:80" x14ac:dyDescent="0.4">
      <c r="J55" s="12"/>
      <c r="M55" s="1"/>
      <c r="N55" s="49" t="s">
        <v>176</v>
      </c>
      <c r="O55" s="49">
        <f>$O$53*$O$54</f>
        <v>5.8428884603024416E-2</v>
      </c>
      <c r="Q55" s="49" t="s">
        <v>226</v>
      </c>
      <c r="R55" s="1"/>
      <c r="S55" s="1"/>
      <c r="T55" s="1"/>
      <c r="V55" s="1"/>
    </row>
    <row r="56" spans="1:80" s="1" customFormat="1" x14ac:dyDescent="0.4">
      <c r="A56"/>
      <c r="B56"/>
      <c r="C56"/>
      <c r="D56"/>
      <c r="E56"/>
      <c r="F56"/>
      <c r="G56"/>
      <c r="H56"/>
      <c r="I56"/>
      <c r="L56"/>
      <c r="M56"/>
      <c r="N56"/>
      <c r="O56"/>
      <c r="P56"/>
      <c r="Q56"/>
      <c r="R56"/>
      <c r="S56"/>
      <c r="T56"/>
      <c r="V56"/>
      <c r="BY56" s="112"/>
      <c r="BZ56" s="112"/>
      <c r="CA56" s="112"/>
      <c r="CB56" s="112"/>
    </row>
    <row r="57" spans="1:80" x14ac:dyDescent="0.4">
      <c r="A57" s="1" t="s">
        <v>66</v>
      </c>
      <c r="B57" s="1"/>
      <c r="C57" s="1"/>
      <c r="D57" s="1"/>
      <c r="E57" s="1"/>
      <c r="F57" s="1" t="s">
        <v>5</v>
      </c>
      <c r="G57" s="1"/>
      <c r="H57" s="1"/>
      <c r="I57" s="1"/>
      <c r="L57" s="1"/>
      <c r="N57" s="1" t="s">
        <v>34</v>
      </c>
      <c r="P57" s="1"/>
    </row>
    <row r="58" spans="1:80" x14ac:dyDescent="0.4">
      <c r="J58" s="245"/>
      <c r="N58" s="49" t="s">
        <v>151</v>
      </c>
      <c r="O58">
        <v>0.05</v>
      </c>
      <c r="P58" s="1"/>
    </row>
    <row r="59" spans="1:80" x14ac:dyDescent="0.4">
      <c r="B59" s="157"/>
      <c r="C59" s="157"/>
      <c r="D59" s="157"/>
      <c r="E59" s="157"/>
      <c r="G59" s="245"/>
      <c r="H59" s="245"/>
      <c r="I59" s="245"/>
      <c r="J59" s="246"/>
      <c r="K59" s="1"/>
      <c r="N59" s="49" t="s">
        <v>79</v>
      </c>
      <c r="O59">
        <f>$H$34+$J$34-2</f>
        <v>8</v>
      </c>
      <c r="P59" s="1"/>
      <c r="Q59" s="49" t="s">
        <v>227</v>
      </c>
    </row>
    <row r="60" spans="1:80" x14ac:dyDescent="0.4">
      <c r="A60" s="1" t="s">
        <v>67</v>
      </c>
      <c r="B60" s="158"/>
      <c r="C60" s="158"/>
      <c r="D60" s="158"/>
      <c r="E60" s="158"/>
      <c r="G60" s="246"/>
      <c r="H60" s="246"/>
      <c r="I60" s="246"/>
      <c r="N60" s="49" t="s">
        <v>150</v>
      </c>
      <c r="O60">
        <f>_xlfn.T.INV.2T($O$58,$O$59)</f>
        <v>2.3060041352041671</v>
      </c>
      <c r="P60" s="1"/>
      <c r="Q60" s="49" t="s">
        <v>228</v>
      </c>
    </row>
    <row r="61" spans="1:80" x14ac:dyDescent="0.4">
      <c r="O61">
        <f>SQRT((($H$36^2)/$H$34)+(($J$36^2)/$J$34))</f>
        <v>2.6981475126464108E-2</v>
      </c>
      <c r="P61" s="1"/>
      <c r="Q61" s="49" t="s">
        <v>229</v>
      </c>
    </row>
    <row r="62" spans="1:80" x14ac:dyDescent="0.4">
      <c r="A62" s="49" t="s">
        <v>131</v>
      </c>
      <c r="N62" s="49" t="s">
        <v>176</v>
      </c>
      <c r="O62">
        <f>$O$60*$O$61</f>
        <v>6.2219393215534609E-2</v>
      </c>
      <c r="Q62" s="49" t="s">
        <v>230</v>
      </c>
    </row>
    <row r="63" spans="1:80" x14ac:dyDescent="0.4">
      <c r="A63">
        <v>1</v>
      </c>
      <c r="B63" s="49" t="s">
        <v>158</v>
      </c>
      <c r="N63" s="1"/>
      <c r="O63" s="1"/>
    </row>
    <row r="64" spans="1:80" x14ac:dyDescent="0.4">
      <c r="A64">
        <v>2</v>
      </c>
      <c r="B64" s="49" t="s">
        <v>133</v>
      </c>
      <c r="N64" s="1"/>
      <c r="O64" s="1"/>
    </row>
    <row r="65" spans="1:16" x14ac:dyDescent="0.4">
      <c r="A65">
        <v>3</v>
      </c>
      <c r="B65" s="49" t="s">
        <v>234</v>
      </c>
      <c r="N65" s="1"/>
      <c r="O65" s="1"/>
      <c r="P65" s="1"/>
    </row>
    <row r="66" spans="1:16" x14ac:dyDescent="0.4">
      <c r="N66" s="1"/>
      <c r="O66" s="1"/>
    </row>
    <row r="67" spans="1:16" x14ac:dyDescent="0.4">
      <c r="N67" s="1"/>
      <c r="O67" s="1"/>
    </row>
    <row r="68" spans="1:16" x14ac:dyDescent="0.4">
      <c r="P68" s="1"/>
    </row>
    <row r="71" spans="1:16" x14ac:dyDescent="0.4">
      <c r="N71" s="1"/>
      <c r="O71" s="1"/>
    </row>
    <row r="74" spans="1:16" x14ac:dyDescent="0.4">
      <c r="N74" s="1"/>
      <c r="O74" s="1"/>
    </row>
  </sheetData>
  <sheetProtection selectLockedCells="1" selectUnlockedCells="1"/>
  <protectedRanges>
    <protectedRange algorithmName="SHA-512" hashValue="4KY1Cay0asyut3KHg0yQpyNVFIDMMeZBDcKFIJUeq15ERCCU5kJiSEAuvmG/h++6yHTxOLdzIdNkxkfOQtMS9A==" saltValue="l/8yh7tUp4iptvVaPL8xIw==" spinCount="100000" sqref="C3:D9 I3:I8 I11" name="Range1"/>
    <protectedRange algorithmName="SHA-512" hashValue="d4mfU+lK8w0dKPiGLCZvHQB9ZRGzoo6sihpPs4kuGabLnddE3hDAIBUqoS3elO8+cBs2nAXFdQ7+llf+NmKR5Q==" saltValue="/T0u8uGDKJwKDVfpTxcW5g==" spinCount="100000" sqref="B14:B33 D14:D33 H14:H33 J14:J33" name="Range2"/>
  </protectedRanges>
  <mergeCells count="34">
    <mergeCell ref="I11:J11"/>
    <mergeCell ref="A5:B5"/>
    <mergeCell ref="C5:D5"/>
    <mergeCell ref="I4:J4"/>
    <mergeCell ref="A6:B6"/>
    <mergeCell ref="F9:H9"/>
    <mergeCell ref="F10:H10"/>
    <mergeCell ref="F11:H11"/>
    <mergeCell ref="I9:J9"/>
    <mergeCell ref="I7:J7"/>
    <mergeCell ref="I8:J8"/>
    <mergeCell ref="F7:H7"/>
    <mergeCell ref="F8:H8"/>
    <mergeCell ref="C4:D4"/>
    <mergeCell ref="I10:J10"/>
    <mergeCell ref="A8:B8"/>
    <mergeCell ref="C8:D8"/>
    <mergeCell ref="C6:D6"/>
    <mergeCell ref="I6:J6"/>
    <mergeCell ref="W4:X4"/>
    <mergeCell ref="A9:B9"/>
    <mergeCell ref="C9:D9"/>
    <mergeCell ref="M2:N2"/>
    <mergeCell ref="K2:L2"/>
    <mergeCell ref="A7:B7"/>
    <mergeCell ref="C7:D7"/>
    <mergeCell ref="I3:J3"/>
    <mergeCell ref="A3:B3"/>
    <mergeCell ref="C3:D3"/>
    <mergeCell ref="A4:B4"/>
    <mergeCell ref="F3:H3"/>
    <mergeCell ref="F4:H4"/>
    <mergeCell ref="F6:H6"/>
    <mergeCell ref="I5:J5"/>
  </mergeCells>
  <dataValidations count="2">
    <dataValidation type="list" allowBlank="1" showInputMessage="1" showErrorMessage="1" sqref="I7" xr:uid="{A5B1A090-373C-4144-B886-7431CC4CF721}">
      <formula1>$M$4:$M$9</formula1>
    </dataValidation>
    <dataValidation type="list" allowBlank="1" showInputMessage="1" showErrorMessage="1" sqref="I8:J8" xr:uid="{82FF777C-E95A-4C44-83B5-0A0053BD9F1B}">
      <formula1>$S$4:$S$9</formula1>
    </dataValidation>
  </dataValidations>
  <pageMargins left="0.7" right="0.7" top="0.75" bottom="0.75" header="0.3" footer="0.3"/>
  <pageSetup scale="48" orientation="portrait" r:id="rId1"/>
  <headerFooter>
    <oddHeader>&amp;C&amp;G</oddHeader>
    <oddFooter xml:space="preserve">&amp;RSunDx INTWKSHT20191021
</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G112"/>
  <sheetViews>
    <sheetView topLeftCell="A21" zoomScale="80" zoomScaleNormal="80" workbookViewId="0">
      <selection activeCell="H56" sqref="H56"/>
    </sheetView>
  </sheetViews>
  <sheetFormatPr defaultColWidth="9.1171875" defaultRowHeight="12.7" x14ac:dyDescent="0.4"/>
  <cols>
    <col min="1" max="1" width="19.64453125" style="63" customWidth="1"/>
    <col min="2" max="2" width="19.234375" style="63" customWidth="1"/>
    <col min="3" max="3" width="14.52734375" style="63" customWidth="1"/>
    <col min="4" max="4" width="14.1171875" style="63" customWidth="1"/>
    <col min="5" max="5" width="17.87890625" style="63" customWidth="1"/>
    <col min="6" max="6" width="17.64453125" style="63" customWidth="1"/>
    <col min="7" max="7" width="13.41015625" style="63" customWidth="1"/>
    <col min="8" max="8" width="13.64453125" style="63" customWidth="1"/>
    <col min="9" max="9" width="9.87890625" style="63" customWidth="1"/>
    <col min="10" max="10" width="12.64453125" style="63" customWidth="1"/>
    <col min="11" max="11" width="11.41015625" style="63" customWidth="1"/>
    <col min="12" max="12" width="12.64453125" style="63" customWidth="1"/>
    <col min="13" max="13" width="3.234375" style="63" customWidth="1"/>
    <col min="14" max="14" width="14.87890625" style="67" customWidth="1"/>
    <col min="15" max="15" width="14.234375" style="67" customWidth="1"/>
    <col min="16" max="16" width="14.41015625" style="67" customWidth="1"/>
    <col min="17" max="17" width="14" style="67" customWidth="1"/>
    <col min="18" max="18" width="14.87890625" style="67" customWidth="1"/>
    <col min="19" max="19" width="13.87890625" style="67" customWidth="1"/>
    <col min="20" max="20" width="14.87890625" style="67" customWidth="1"/>
    <col min="21" max="21" width="9.1171875" style="67"/>
    <col min="22" max="24" width="12.52734375" style="67" customWidth="1"/>
    <col min="25" max="25" width="4.234375" style="67" customWidth="1"/>
    <col min="26" max="26" width="14.234375" style="67" customWidth="1"/>
    <col min="27" max="27" width="19.41015625" style="67" customWidth="1"/>
    <col min="28" max="28" width="14.64453125" style="67" customWidth="1"/>
    <col min="29" max="29" width="13.87890625" style="67" customWidth="1"/>
    <col min="30" max="31" width="14.41015625" style="67" customWidth="1"/>
    <col min="32" max="32" width="13.64453125" style="67" customWidth="1"/>
    <col min="33" max="33" width="14.234375" style="67" customWidth="1"/>
    <col min="34" max="34" width="9.234375" style="67" bestFit="1" customWidth="1"/>
    <col min="35" max="35" width="12.87890625" style="67" customWidth="1"/>
    <col min="36" max="38" width="9.234375" style="67" bestFit="1" customWidth="1"/>
    <col min="39" max="39" width="9.1171875" style="67"/>
    <col min="40" max="40" width="9.234375" style="67" bestFit="1" customWidth="1"/>
    <col min="41" max="41" width="9.1171875" style="67"/>
    <col min="42" max="42" width="9.234375" style="67" bestFit="1" customWidth="1"/>
    <col min="43" max="43" width="10.52734375" style="67" bestFit="1" customWidth="1"/>
    <col min="44" max="46" width="9.234375" style="67" bestFit="1" customWidth="1"/>
    <col min="47" max="89" width="9.1171875" style="67"/>
    <col min="90" max="16384" width="9.1171875" style="63"/>
  </cols>
  <sheetData>
    <row r="1" spans="1:91" x14ac:dyDescent="0.4">
      <c r="B1" s="64" t="s">
        <v>105</v>
      </c>
      <c r="F1" s="64" t="s">
        <v>160</v>
      </c>
      <c r="R1" s="109"/>
      <c r="AA1" s="109"/>
      <c r="AE1" s="109"/>
      <c r="CH1" s="74"/>
      <c r="CK1" s="63"/>
    </row>
    <row r="2" spans="1:91" x14ac:dyDescent="0.4">
      <c r="A2" s="64" t="s">
        <v>96</v>
      </c>
      <c r="N2" s="109"/>
      <c r="Z2" s="109"/>
      <c r="CK2" s="74"/>
      <c r="CL2" s="67"/>
      <c r="CM2" s="67"/>
    </row>
    <row r="3" spans="1:91" x14ac:dyDescent="0.4">
      <c r="B3" s="133" t="s">
        <v>5</v>
      </c>
      <c r="C3" s="341" t="s">
        <v>147</v>
      </c>
      <c r="D3" s="327"/>
      <c r="F3" s="342" t="s">
        <v>204</v>
      </c>
      <c r="G3" s="343"/>
      <c r="H3" s="344"/>
      <c r="I3" s="315" t="s">
        <v>149</v>
      </c>
      <c r="J3" s="316"/>
      <c r="K3" s="136"/>
      <c r="L3" s="136"/>
      <c r="O3" s="352"/>
      <c r="P3" s="347"/>
      <c r="R3" s="349"/>
      <c r="S3" s="350"/>
      <c r="T3" s="350"/>
      <c r="U3" s="346"/>
      <c r="V3" s="347"/>
      <c r="W3" s="136"/>
      <c r="X3" s="136"/>
      <c r="AA3" s="142"/>
      <c r="AB3" s="352"/>
      <c r="AC3" s="347"/>
      <c r="AE3" s="349"/>
      <c r="AF3" s="350"/>
      <c r="AG3" s="350"/>
      <c r="AH3" s="346"/>
      <c r="AI3" s="347"/>
      <c r="CH3" s="63"/>
      <c r="CI3" s="63"/>
      <c r="CJ3" s="63"/>
      <c r="CK3" s="63"/>
    </row>
    <row r="4" spans="1:91" x14ac:dyDescent="0.4">
      <c r="B4" s="134" t="s">
        <v>37</v>
      </c>
      <c r="C4" s="345" t="s">
        <v>35</v>
      </c>
      <c r="D4" s="327"/>
      <c r="F4" s="342" t="s">
        <v>68</v>
      </c>
      <c r="G4" s="343"/>
      <c r="H4" s="344"/>
      <c r="I4" s="348" t="s">
        <v>69</v>
      </c>
      <c r="J4" s="316"/>
      <c r="K4" s="136"/>
      <c r="L4" s="136"/>
      <c r="M4" s="62"/>
      <c r="O4" s="346"/>
      <c r="P4" s="347"/>
      <c r="R4" s="349"/>
      <c r="S4" s="350"/>
      <c r="T4" s="350"/>
      <c r="U4" s="351"/>
      <c r="V4" s="347"/>
      <c r="W4" s="136"/>
      <c r="X4" s="136"/>
      <c r="AA4" s="141"/>
      <c r="AB4" s="346"/>
      <c r="AC4" s="347"/>
      <c r="AE4" s="349"/>
      <c r="AF4" s="350"/>
      <c r="AG4" s="350"/>
      <c r="AH4" s="351"/>
      <c r="AI4" s="347"/>
      <c r="CE4" s="74"/>
      <c r="CH4" s="63"/>
      <c r="CI4" s="63"/>
      <c r="CJ4" s="63"/>
      <c r="CK4" s="63"/>
    </row>
    <row r="5" spans="1:91" x14ac:dyDescent="0.4">
      <c r="B5" s="134" t="s">
        <v>31</v>
      </c>
      <c r="C5" s="326" t="s">
        <v>4</v>
      </c>
      <c r="D5" s="327"/>
      <c r="F5" s="338" t="s">
        <v>235</v>
      </c>
      <c r="G5" s="339"/>
      <c r="H5" s="339"/>
      <c r="I5" s="358">
        <v>5</v>
      </c>
      <c r="J5" s="358"/>
      <c r="K5" s="139" t="str">
        <f>C5</f>
        <v>mg/dL</v>
      </c>
      <c r="L5" s="139"/>
      <c r="M5" s="62"/>
      <c r="O5" s="351"/>
      <c r="P5" s="347"/>
      <c r="R5" s="355"/>
      <c r="S5" s="356"/>
      <c r="T5" s="356"/>
      <c r="U5" s="353"/>
      <c r="V5" s="353"/>
      <c r="W5" s="139"/>
      <c r="X5" s="139"/>
      <c r="AA5" s="141"/>
      <c r="AB5" s="351"/>
      <c r="AC5" s="347"/>
      <c r="AE5" s="355"/>
      <c r="AF5" s="356"/>
      <c r="AG5" s="356"/>
      <c r="AH5" s="353"/>
      <c r="AI5" s="353"/>
      <c r="CE5" s="74"/>
      <c r="CH5" s="63"/>
      <c r="CI5" s="63"/>
      <c r="CJ5" s="63"/>
      <c r="CK5" s="63"/>
    </row>
    <row r="6" spans="1:91" x14ac:dyDescent="0.4">
      <c r="B6" s="134" t="s">
        <v>38</v>
      </c>
      <c r="C6" s="326" t="s">
        <v>121</v>
      </c>
      <c r="D6" s="327"/>
      <c r="F6" s="338" t="s">
        <v>161</v>
      </c>
      <c r="G6" s="339"/>
      <c r="H6" s="339"/>
      <c r="I6" s="354">
        <v>0.1</v>
      </c>
      <c r="J6" s="354"/>
      <c r="K6" s="204" t="s">
        <v>205</v>
      </c>
      <c r="L6" s="138"/>
      <c r="O6" s="351"/>
      <c r="P6" s="347"/>
      <c r="R6" s="355"/>
      <c r="S6" s="356"/>
      <c r="T6" s="356"/>
      <c r="U6" s="357"/>
      <c r="V6" s="357"/>
      <c r="W6" s="138"/>
      <c r="X6" s="138"/>
      <c r="AA6" s="141"/>
      <c r="AB6" s="351"/>
      <c r="AC6" s="347"/>
      <c r="AE6" s="355"/>
      <c r="AF6" s="356"/>
      <c r="AG6" s="356"/>
      <c r="AH6" s="357"/>
      <c r="AI6" s="357"/>
      <c r="CI6" s="63"/>
      <c r="CJ6" s="63"/>
      <c r="CK6" s="63"/>
    </row>
    <row r="7" spans="1:91" x14ac:dyDescent="0.4">
      <c r="B7" s="134" t="s">
        <v>39</v>
      </c>
      <c r="C7" s="340">
        <v>12345</v>
      </c>
      <c r="D7" s="327"/>
      <c r="J7" s="70"/>
      <c r="K7" s="70"/>
      <c r="L7" s="70"/>
      <c r="O7" s="359"/>
      <c r="P7" s="347"/>
      <c r="V7" s="141"/>
      <c r="W7" s="141"/>
      <c r="X7" s="141"/>
      <c r="AA7" s="141"/>
      <c r="AB7" s="359"/>
      <c r="AC7" s="347"/>
      <c r="AI7" s="141"/>
      <c r="CG7" s="63"/>
      <c r="CH7" s="63"/>
      <c r="CI7" s="63"/>
      <c r="CJ7" s="63"/>
      <c r="CK7" s="63"/>
    </row>
    <row r="8" spans="1:91" x14ac:dyDescent="0.4">
      <c r="B8" s="134" t="s">
        <v>40</v>
      </c>
      <c r="C8" s="340">
        <v>987654</v>
      </c>
      <c r="D8" s="327"/>
      <c r="J8" s="70"/>
      <c r="K8" s="70"/>
      <c r="L8" s="70"/>
      <c r="M8" s="64"/>
      <c r="O8" s="359"/>
      <c r="P8" s="347"/>
      <c r="V8" s="141"/>
      <c r="W8" s="141"/>
      <c r="X8" s="141"/>
      <c r="AA8" s="141"/>
      <c r="AB8" s="359"/>
      <c r="AC8" s="347"/>
      <c r="AI8" s="141"/>
      <c r="CG8" s="63"/>
      <c r="CH8" s="63"/>
      <c r="CI8" s="63"/>
      <c r="CJ8" s="63"/>
      <c r="CK8" s="63"/>
    </row>
    <row r="9" spans="1:91" x14ac:dyDescent="0.4">
      <c r="B9" s="134" t="s">
        <v>30</v>
      </c>
      <c r="C9" s="326" t="s">
        <v>148</v>
      </c>
      <c r="D9" s="327"/>
      <c r="J9" s="70"/>
      <c r="K9" s="70"/>
      <c r="L9" s="70"/>
      <c r="M9" s="64"/>
      <c r="O9" s="351"/>
      <c r="P9" s="347"/>
      <c r="V9" s="141"/>
      <c r="W9" s="141"/>
      <c r="X9" s="141"/>
      <c r="AA9" s="141"/>
      <c r="AB9" s="351"/>
      <c r="AC9" s="347"/>
      <c r="AI9" s="141"/>
      <c r="CG9" s="63"/>
      <c r="CH9" s="63"/>
      <c r="CI9" s="63"/>
      <c r="CJ9" s="63"/>
      <c r="CK9" s="63"/>
    </row>
    <row r="10" spans="1:91" x14ac:dyDescent="0.4">
      <c r="F10" s="70"/>
      <c r="G10" s="65"/>
      <c r="H10" s="141"/>
      <c r="I10" s="142"/>
      <c r="J10" s="62"/>
      <c r="K10" s="62"/>
      <c r="L10" s="62"/>
      <c r="R10" s="141"/>
      <c r="S10" s="142"/>
      <c r="T10" s="141"/>
      <c r="U10" s="142"/>
      <c r="V10" s="74"/>
      <c r="W10" s="74"/>
      <c r="X10" s="74"/>
      <c r="AE10" s="141"/>
      <c r="AF10" s="142"/>
      <c r="AG10" s="141"/>
      <c r="AH10" s="142"/>
      <c r="AI10" s="74"/>
      <c r="CH10" s="63"/>
      <c r="CI10" s="63"/>
      <c r="CJ10" s="63"/>
      <c r="CK10" s="63"/>
    </row>
    <row r="11" spans="1:91" x14ac:dyDescent="0.4">
      <c r="A11" s="105" t="s">
        <v>162</v>
      </c>
      <c r="F11" s="70"/>
      <c r="G11" s="65"/>
      <c r="H11" s="154"/>
      <c r="I11" s="155"/>
      <c r="J11" s="62"/>
      <c r="K11" s="62"/>
      <c r="L11" s="62"/>
      <c r="R11" s="154"/>
      <c r="S11" s="155"/>
      <c r="T11" s="154"/>
      <c r="U11" s="155"/>
      <c r="V11" s="74"/>
      <c r="W11" s="74"/>
      <c r="X11" s="74"/>
      <c r="AE11" s="154"/>
      <c r="AF11" s="155"/>
      <c r="AG11" s="154"/>
      <c r="AH11" s="155"/>
      <c r="AI11" s="74"/>
      <c r="CH11" s="63"/>
      <c r="CI11" s="63"/>
      <c r="CJ11" s="63"/>
      <c r="CK11" s="63"/>
    </row>
    <row r="12" spans="1:91" x14ac:dyDescent="0.4">
      <c r="A12" s="143" t="s">
        <v>80</v>
      </c>
      <c r="B12" s="76" t="s">
        <v>80</v>
      </c>
      <c r="C12" s="135" t="s">
        <v>85</v>
      </c>
      <c r="D12" s="135" t="s">
        <v>86</v>
      </c>
      <c r="E12" s="135" t="s">
        <v>87</v>
      </c>
      <c r="F12" s="135" t="s">
        <v>88</v>
      </c>
      <c r="G12" s="135" t="s">
        <v>89</v>
      </c>
      <c r="H12" s="135" t="s">
        <v>1</v>
      </c>
      <c r="I12" s="132" t="s">
        <v>122</v>
      </c>
      <c r="J12" s="135" t="s">
        <v>122</v>
      </c>
      <c r="K12" s="132" t="s">
        <v>123</v>
      </c>
      <c r="L12" s="135" t="s">
        <v>123</v>
      </c>
      <c r="N12" s="109"/>
      <c r="P12" s="82"/>
      <c r="Q12" s="82"/>
      <c r="R12" s="82"/>
      <c r="S12" s="82"/>
      <c r="T12" s="82"/>
      <c r="U12" s="82"/>
      <c r="V12" s="82"/>
      <c r="W12" s="82"/>
      <c r="X12" s="82"/>
      <c r="Z12" s="109"/>
      <c r="AA12" s="82"/>
      <c r="AB12" s="82"/>
      <c r="AC12" s="82"/>
      <c r="AD12" s="82"/>
      <c r="AE12" s="82"/>
      <c r="AF12" s="82"/>
      <c r="AG12" s="82"/>
      <c r="AH12" s="82"/>
      <c r="AI12" s="82"/>
      <c r="AJ12" s="82"/>
      <c r="AK12" s="82"/>
      <c r="CH12" s="63"/>
      <c r="CI12" s="63"/>
      <c r="CJ12" s="63"/>
      <c r="CK12" s="63"/>
    </row>
    <row r="13" spans="1:91" x14ac:dyDescent="0.4">
      <c r="A13" s="143" t="s">
        <v>82</v>
      </c>
      <c r="B13" s="77" t="s">
        <v>81</v>
      </c>
      <c r="C13" s="135" t="s">
        <v>81</v>
      </c>
      <c r="D13" s="135" t="s">
        <v>81</v>
      </c>
      <c r="E13" s="135" t="s">
        <v>81</v>
      </c>
      <c r="F13" s="135" t="s">
        <v>81</v>
      </c>
      <c r="G13" s="135" t="s">
        <v>81</v>
      </c>
      <c r="H13" s="135" t="s">
        <v>81</v>
      </c>
      <c r="I13" s="132" t="s">
        <v>152</v>
      </c>
      <c r="J13" s="135" t="s">
        <v>206</v>
      </c>
      <c r="K13" s="132" t="s">
        <v>152</v>
      </c>
      <c r="L13" s="135" t="s">
        <v>206</v>
      </c>
      <c r="N13" s="109"/>
      <c r="P13" s="82"/>
      <c r="Q13" s="82"/>
      <c r="R13" s="82"/>
      <c r="S13" s="82"/>
      <c r="T13" s="82"/>
      <c r="U13" s="82"/>
      <c r="V13" s="82"/>
      <c r="W13" s="82"/>
      <c r="X13" s="82"/>
      <c r="Z13" s="109"/>
      <c r="AA13" s="82"/>
      <c r="AB13" s="82"/>
      <c r="AC13" s="82"/>
      <c r="AD13" s="82"/>
      <c r="AE13" s="82"/>
      <c r="AF13" s="82"/>
      <c r="AG13" s="82"/>
      <c r="AH13" s="82"/>
      <c r="AI13" s="82"/>
      <c r="AJ13" s="82"/>
      <c r="AK13" s="82"/>
      <c r="CH13" s="63"/>
      <c r="CI13" s="63"/>
      <c r="CJ13" s="63"/>
      <c r="CK13" s="63"/>
    </row>
    <row r="14" spans="1:91" x14ac:dyDescent="0.4">
      <c r="A14" s="145">
        <v>1</v>
      </c>
      <c r="B14" s="140">
        <v>0</v>
      </c>
      <c r="C14" s="104">
        <v>120</v>
      </c>
      <c r="D14" s="104">
        <v>116</v>
      </c>
      <c r="E14" s="104">
        <v>118</v>
      </c>
      <c r="F14" s="104">
        <v>121</v>
      </c>
      <c r="G14" s="104">
        <v>116</v>
      </c>
      <c r="H14" s="78">
        <f>IF($C$14="","",AVERAGE($C$14:$G$14))</f>
        <v>118.2</v>
      </c>
      <c r="I14" s="152">
        <f>IF($I$5&lt;&gt;"",($H$14-$H$14),"")</f>
        <v>0</v>
      </c>
      <c r="J14" s="135" t="s">
        <v>207</v>
      </c>
      <c r="K14" s="79">
        <f>IF(I6="","",0%)</f>
        <v>0</v>
      </c>
      <c r="L14" s="135" t="s">
        <v>207</v>
      </c>
      <c r="N14" s="124"/>
      <c r="P14" s="125"/>
      <c r="Q14" s="125"/>
      <c r="R14" s="125"/>
      <c r="S14" s="125"/>
      <c r="T14" s="81"/>
      <c r="U14" s="86"/>
      <c r="V14" s="82"/>
      <c r="W14" s="85"/>
      <c r="X14" s="82"/>
      <c r="Z14" s="124"/>
      <c r="AA14" s="82"/>
      <c r="AB14" s="125"/>
      <c r="AC14" s="125"/>
      <c r="AD14" s="125"/>
      <c r="AE14" s="125"/>
      <c r="AF14" s="125"/>
      <c r="AG14" s="81"/>
      <c r="AH14" s="86"/>
      <c r="AI14" s="82"/>
      <c r="AJ14" s="85"/>
      <c r="AK14" s="82"/>
      <c r="CH14" s="63"/>
      <c r="CI14" s="63"/>
      <c r="CJ14" s="63"/>
      <c r="CK14" s="63"/>
    </row>
    <row r="15" spans="1:91" x14ac:dyDescent="0.4">
      <c r="A15" s="144">
        <v>2</v>
      </c>
      <c r="B15" s="132">
        <f>($B$16+$B$14)/2</f>
        <v>250</v>
      </c>
      <c r="C15" s="104">
        <v>122</v>
      </c>
      <c r="D15" s="104">
        <v>122</v>
      </c>
      <c r="E15" s="104">
        <v>121</v>
      </c>
      <c r="F15" s="104">
        <v>120</v>
      </c>
      <c r="G15" s="104">
        <v>123</v>
      </c>
      <c r="H15" s="78">
        <f>IF($C$15="","",AVERAGE($C$15:$G$15))</f>
        <v>121.6</v>
      </c>
      <c r="I15" s="152">
        <f>IF($I$5&lt;&gt;"",($H$15-$H$14),"")</f>
        <v>3.3999999999999915</v>
      </c>
      <c r="J15" s="153" t="str">
        <f>IF($I$5="","",IF(ABS($I$15)&lt;$I$5,"NO","YES"))</f>
        <v>NO</v>
      </c>
      <c r="K15" s="79">
        <f>IF($I$6="","",($H$15-$H$14)/$H$14)</f>
        <v>2.8764805414551533E-2</v>
      </c>
      <c r="L15" s="132" t="str">
        <f>IF($I$6="","",IF(ABS($K$15)&lt;$I$6,"NO","YES"))</f>
        <v>NO</v>
      </c>
      <c r="P15" s="125"/>
      <c r="Q15" s="125"/>
      <c r="R15" s="125"/>
      <c r="S15" s="125"/>
      <c r="T15" s="81"/>
      <c r="U15" s="86"/>
      <c r="V15" s="82"/>
      <c r="W15" s="85"/>
      <c r="X15" s="82"/>
      <c r="AA15" s="82"/>
      <c r="AB15" s="125"/>
      <c r="AC15" s="125"/>
      <c r="AD15" s="125"/>
      <c r="AE15" s="125"/>
      <c r="AF15" s="125"/>
      <c r="AG15" s="81"/>
      <c r="AH15" s="86"/>
      <c r="AI15" s="82"/>
      <c r="AJ15" s="85"/>
      <c r="AK15" s="82"/>
      <c r="CH15" s="63"/>
      <c r="CI15" s="63"/>
      <c r="CJ15" s="63"/>
      <c r="CK15" s="63"/>
    </row>
    <row r="16" spans="1:91" x14ac:dyDescent="0.4">
      <c r="A16" s="144">
        <v>3</v>
      </c>
      <c r="B16" s="132">
        <f>($B$18+$B$14)/2</f>
        <v>500</v>
      </c>
      <c r="C16" s="104">
        <v>118</v>
      </c>
      <c r="D16" s="104">
        <v>123</v>
      </c>
      <c r="E16" s="104">
        <v>121</v>
      </c>
      <c r="F16" s="104">
        <v>125</v>
      </c>
      <c r="G16" s="104">
        <v>118</v>
      </c>
      <c r="H16" s="78">
        <f>IF($C$16="","",AVERAGE($C$16:$G$16))</f>
        <v>121</v>
      </c>
      <c r="I16" s="152">
        <f>IF($I$5&lt;&gt;"",($H$16-$H$14),"")</f>
        <v>2.7999999999999972</v>
      </c>
      <c r="J16" s="153" t="str">
        <f>IF($I$5="","",IF(ABS($I$16)&lt;$I$5,"NO","YES"))</f>
        <v>NO</v>
      </c>
      <c r="K16" s="79">
        <f>IF($I$6="","",($H$16-$H$14)/$H$14)</f>
        <v>2.3688663282571888E-2</v>
      </c>
      <c r="L16" s="153" t="str">
        <f>IF($I$6="","",IF(ABS($K$16)&lt;$I$6,"NO","YES"))</f>
        <v>NO</v>
      </c>
      <c r="P16" s="125"/>
      <c r="Q16" s="125"/>
      <c r="R16" s="125"/>
      <c r="S16" s="125"/>
      <c r="T16" s="81"/>
      <c r="U16" s="86"/>
      <c r="V16" s="82"/>
      <c r="W16" s="85"/>
      <c r="X16" s="82"/>
      <c r="AA16" s="82"/>
      <c r="AB16" s="125"/>
      <c r="AC16" s="125"/>
      <c r="AD16" s="125"/>
      <c r="AE16" s="125"/>
      <c r="AF16" s="125"/>
      <c r="AG16" s="81"/>
      <c r="AH16" s="86"/>
      <c r="AI16" s="82"/>
      <c r="AJ16" s="85"/>
      <c r="AK16" s="82"/>
      <c r="CH16" s="63"/>
      <c r="CI16" s="63"/>
      <c r="CJ16" s="63"/>
      <c r="CK16" s="63"/>
    </row>
    <row r="17" spans="1:101" x14ac:dyDescent="0.4">
      <c r="A17" s="144">
        <v>4</v>
      </c>
      <c r="B17" s="132">
        <f>($B$18+$B$16)/2</f>
        <v>750</v>
      </c>
      <c r="C17" s="104">
        <v>125</v>
      </c>
      <c r="D17" s="104">
        <v>126</v>
      </c>
      <c r="E17" s="104">
        <v>128</v>
      </c>
      <c r="F17" s="104">
        <v>122</v>
      </c>
      <c r="G17" s="104">
        <v>118</v>
      </c>
      <c r="H17" s="78">
        <f>IF($C$17="","",AVERAGE($C$17:$G$17))</f>
        <v>123.8</v>
      </c>
      <c r="I17" s="152">
        <f>IF($I$5&lt;&gt;"",($H$17-$H$14),"")</f>
        <v>5.5999999999999943</v>
      </c>
      <c r="J17" s="153" t="str">
        <f>IF($I$5="","",IF(ABS($I$17)&lt;$I$5,"NO","YES"))</f>
        <v>YES</v>
      </c>
      <c r="K17" s="79">
        <f>IF($I$6="","",($H$17-$H$14)/$H$14)</f>
        <v>4.7377326565143776E-2</v>
      </c>
      <c r="L17" s="153" t="str">
        <f>IF($I$6="","",IF(ABS($K$17)&lt;$I$6,"NO","YES"))</f>
        <v>NO</v>
      </c>
      <c r="O17" s="127"/>
      <c r="P17" s="125"/>
      <c r="Q17" s="125"/>
      <c r="R17" s="125"/>
      <c r="S17" s="125"/>
      <c r="T17" s="81"/>
      <c r="U17" s="86"/>
      <c r="V17" s="82"/>
      <c r="W17" s="85"/>
      <c r="X17" s="82"/>
      <c r="AA17" s="82"/>
      <c r="AB17" s="125"/>
      <c r="AC17" s="125"/>
      <c r="AD17" s="125"/>
      <c r="AE17" s="125"/>
      <c r="AF17" s="125"/>
      <c r="AG17" s="81"/>
      <c r="AH17" s="86"/>
      <c r="AI17" s="82"/>
      <c r="AJ17" s="85"/>
      <c r="AK17" s="82"/>
      <c r="CH17" s="63"/>
      <c r="CI17" s="63"/>
      <c r="CJ17" s="63"/>
      <c r="CK17" s="63"/>
    </row>
    <row r="18" spans="1:101" x14ac:dyDescent="0.4">
      <c r="A18" s="145">
        <v>5</v>
      </c>
      <c r="B18" s="123">
        <v>1000</v>
      </c>
      <c r="C18" s="104">
        <v>130</v>
      </c>
      <c r="D18" s="104">
        <v>134</v>
      </c>
      <c r="E18" s="104">
        <v>136</v>
      </c>
      <c r="F18" s="104">
        <v>131</v>
      </c>
      <c r="G18" s="104">
        <v>133</v>
      </c>
      <c r="H18" s="78">
        <f>IF($C$18="","",AVERAGE($C$18:$G$18))</f>
        <v>132.80000000000001</v>
      </c>
      <c r="I18" s="152">
        <f>IF($I$5&lt;&gt;"",($H$18-$H$14),"")</f>
        <v>14.600000000000009</v>
      </c>
      <c r="J18" s="153" t="str">
        <f>IF($I$5="","",IF(ABS($I$18)&lt;$I$5,"NO","YES"))</f>
        <v>YES</v>
      </c>
      <c r="K18" s="79">
        <f>IF($I$6="","",($H$18-$H$14)/$H$14)</f>
        <v>0.12351945854483933</v>
      </c>
      <c r="L18" s="153" t="str">
        <f>IF($I$6="","",IF(ABS($K$18)&lt;$I$6,"NO","YES"))</f>
        <v>YES</v>
      </c>
      <c r="N18" s="124"/>
      <c r="O18" s="127"/>
      <c r="P18" s="125"/>
      <c r="Q18" s="125"/>
      <c r="R18" s="125"/>
      <c r="S18" s="125"/>
      <c r="T18" s="81"/>
      <c r="U18" s="86"/>
      <c r="V18" s="82"/>
      <c r="W18" s="85"/>
      <c r="X18" s="82"/>
      <c r="Z18" s="124"/>
      <c r="AA18" s="82"/>
      <c r="AB18" s="125"/>
      <c r="AC18" s="125"/>
      <c r="AD18" s="125"/>
      <c r="AE18" s="125"/>
      <c r="AF18" s="125"/>
      <c r="AG18" s="81"/>
      <c r="AH18" s="86"/>
      <c r="AI18" s="82"/>
      <c r="AJ18" s="85"/>
      <c r="AK18" s="82"/>
      <c r="CH18" s="63"/>
      <c r="CI18" s="63"/>
      <c r="CJ18" s="63"/>
      <c r="CK18" s="63"/>
    </row>
    <row r="19" spans="1:101" x14ac:dyDescent="0.4">
      <c r="B19" s="80"/>
      <c r="C19" s="81"/>
      <c r="D19" s="81"/>
      <c r="E19" s="81"/>
      <c r="F19" s="81"/>
      <c r="G19" s="81"/>
      <c r="H19" s="68"/>
      <c r="I19" s="69"/>
      <c r="J19" s="67"/>
      <c r="K19" s="67"/>
      <c r="L19" s="67"/>
      <c r="M19" s="142"/>
      <c r="P19" s="81"/>
      <c r="Q19" s="81"/>
      <c r="R19" s="81"/>
      <c r="S19" s="81"/>
      <c r="U19" s="142"/>
      <c r="Y19" s="142"/>
      <c r="AA19" s="82"/>
      <c r="AB19" s="81"/>
      <c r="AC19" s="81"/>
      <c r="AD19" s="81"/>
      <c r="AE19" s="81"/>
      <c r="AF19" s="81"/>
      <c r="AH19" s="142"/>
      <c r="AL19" s="82"/>
      <c r="AO19" s="142"/>
      <c r="BB19" s="82"/>
      <c r="BE19" s="142"/>
      <c r="CE19" s="63"/>
      <c r="CF19" s="63"/>
      <c r="CG19" s="63"/>
      <c r="CH19" s="63"/>
      <c r="CI19" s="63"/>
      <c r="CJ19" s="63"/>
      <c r="CK19" s="63"/>
    </row>
    <row r="20" spans="1:101" x14ac:dyDescent="0.4">
      <c r="A20" s="75" t="s">
        <v>93</v>
      </c>
      <c r="B20" s="83">
        <f>AVERAGE($B$14:$B$18)</f>
        <v>500</v>
      </c>
      <c r="C20" s="84"/>
      <c r="D20" s="84"/>
      <c r="E20" s="84"/>
      <c r="F20" s="84"/>
      <c r="G20" s="84"/>
      <c r="H20" s="81"/>
      <c r="I20" s="84"/>
      <c r="J20" s="85"/>
      <c r="K20" s="85"/>
      <c r="L20" s="85"/>
      <c r="M20" s="86"/>
      <c r="N20" s="109"/>
      <c r="P20" s="86"/>
      <c r="Q20" s="86"/>
      <c r="R20" s="86"/>
      <c r="S20" s="86"/>
      <c r="T20" s="81"/>
      <c r="U20" s="86"/>
      <c r="V20" s="85"/>
      <c r="W20" s="85"/>
      <c r="X20" s="85"/>
      <c r="Y20" s="142"/>
      <c r="Z20" s="109"/>
      <c r="AA20" s="86"/>
      <c r="AB20" s="86"/>
      <c r="AC20" s="86"/>
      <c r="AD20" s="86"/>
      <c r="AE20" s="86"/>
      <c r="AF20" s="86"/>
      <c r="AG20" s="81"/>
      <c r="AH20" s="86"/>
      <c r="AI20" s="85"/>
      <c r="AJ20" s="82"/>
      <c r="AL20" s="82"/>
      <c r="AO20" s="142"/>
      <c r="AZ20" s="82"/>
      <c r="BB20" s="82"/>
      <c r="BE20" s="142"/>
      <c r="BP20" s="87"/>
      <c r="CA20" s="87"/>
      <c r="CE20" s="63"/>
      <c r="CF20" s="63"/>
      <c r="CG20" s="63"/>
      <c r="CH20" s="63"/>
      <c r="CI20" s="63"/>
      <c r="CJ20" s="63"/>
      <c r="CK20" s="63"/>
      <c r="CL20" s="88"/>
      <c r="CW20" s="88"/>
    </row>
    <row r="21" spans="1:101" x14ac:dyDescent="0.4">
      <c r="A21" s="75" t="s">
        <v>242</v>
      </c>
      <c r="B21" s="81">
        <f>AVERAGE($H$14:$H$18)</f>
        <v>123.48000000000002</v>
      </c>
      <c r="C21" s="90"/>
      <c r="D21" s="90"/>
      <c r="E21" s="90"/>
      <c r="F21" s="90"/>
      <c r="G21" s="90"/>
      <c r="H21" s="90"/>
      <c r="I21" s="90"/>
      <c r="J21" s="102" t="s">
        <v>208</v>
      </c>
      <c r="K21" s="102"/>
      <c r="L21" s="102" t="s">
        <v>209</v>
      </c>
      <c r="M21" s="102"/>
      <c r="N21" s="142"/>
      <c r="O21" s="109"/>
      <c r="Q21" s="91"/>
      <c r="R21" s="91"/>
      <c r="S21" s="91"/>
      <c r="T21" s="91"/>
      <c r="U21" s="91"/>
      <c r="V21" s="91"/>
      <c r="W21" s="91"/>
      <c r="X21" s="91"/>
      <c r="Y21" s="91"/>
      <c r="AA21" s="109"/>
      <c r="AB21" s="91"/>
      <c r="AC21" s="91"/>
      <c r="AD21" s="91"/>
      <c r="AE21" s="91"/>
      <c r="AF21" s="91"/>
      <c r="AG21" s="91"/>
      <c r="AH21" s="91"/>
      <c r="AI21" s="91"/>
      <c r="AJ21" s="91"/>
      <c r="CI21" s="63"/>
      <c r="CJ21" s="63"/>
      <c r="CK21" s="63"/>
    </row>
    <row r="22" spans="1:101" x14ac:dyDescent="0.4">
      <c r="A22" s="75" t="s">
        <v>75</v>
      </c>
      <c r="B22" s="89">
        <f>INTERCEPT($H$14:$H$18,$B$14:$B$18)</f>
        <v>117.20000000000002</v>
      </c>
      <c r="C22" s="90"/>
      <c r="D22" s="90"/>
      <c r="E22" s="90"/>
      <c r="F22" s="90"/>
      <c r="G22" s="90"/>
      <c r="H22" s="90"/>
      <c r="I22" s="266" t="s">
        <v>210</v>
      </c>
      <c r="J22" s="206">
        <f>($B$14-$B$20)^2</f>
        <v>250000</v>
      </c>
      <c r="K22" s="206" t="s">
        <v>212</v>
      </c>
      <c r="L22" s="86">
        <f>($H$14-$B$21)^2</f>
        <v>27.878400000000163</v>
      </c>
      <c r="N22" s="142"/>
      <c r="O22" s="109"/>
      <c r="Q22" s="91"/>
      <c r="R22" s="91"/>
      <c r="S22" s="91"/>
      <c r="T22" s="91"/>
      <c r="U22" s="91"/>
      <c r="V22" s="91"/>
      <c r="W22" s="91"/>
      <c r="X22" s="91"/>
      <c r="Y22" s="91"/>
      <c r="AA22" s="109"/>
      <c r="AB22" s="91"/>
      <c r="AC22" s="91"/>
      <c r="AD22" s="91"/>
      <c r="AE22" s="91"/>
      <c r="AF22" s="91"/>
      <c r="AG22" s="91"/>
      <c r="AH22" s="91"/>
      <c r="AI22" s="91"/>
      <c r="AJ22" s="91"/>
      <c r="CI22" s="63"/>
      <c r="CJ22" s="63"/>
      <c r="CK22" s="63"/>
    </row>
    <row r="23" spans="1:101" x14ac:dyDescent="0.4">
      <c r="A23" s="75" t="s">
        <v>236</v>
      </c>
      <c r="B23" s="89">
        <f>SLOPE($H$14:$H$18,$B$14:$B$18)</f>
        <v>1.2560000000000007E-2</v>
      </c>
      <c r="C23" s="90"/>
      <c r="D23" s="90"/>
      <c r="E23" s="90"/>
      <c r="F23" s="90"/>
      <c r="G23" s="90"/>
      <c r="H23" s="90"/>
      <c r="I23" s="266" t="s">
        <v>238</v>
      </c>
      <c r="J23" s="206">
        <f>($B$15-$B$20)^2</f>
        <v>62500</v>
      </c>
      <c r="K23" s="206" t="s">
        <v>243</v>
      </c>
      <c r="L23" s="86">
        <f>($H$15-$B$21)^2</f>
        <v>3.5344000000000899</v>
      </c>
      <c r="M23" s="91"/>
      <c r="O23" s="109"/>
      <c r="Q23" s="91"/>
      <c r="R23" s="91"/>
      <c r="S23" s="91"/>
      <c r="T23" s="91"/>
      <c r="U23" s="91"/>
      <c r="V23" s="91"/>
      <c r="W23" s="91"/>
      <c r="X23" s="91"/>
      <c r="Y23" s="91"/>
      <c r="AA23" s="109"/>
      <c r="AB23" s="91"/>
      <c r="AC23" s="91"/>
      <c r="AD23" s="91"/>
      <c r="AE23" s="91"/>
      <c r="AF23" s="91"/>
      <c r="AG23" s="91"/>
      <c r="AH23" s="91"/>
      <c r="AI23" s="91"/>
      <c r="AJ23" s="91"/>
      <c r="CI23" s="63"/>
      <c r="CJ23" s="63"/>
      <c r="CK23" s="63"/>
    </row>
    <row r="24" spans="1:101" x14ac:dyDescent="0.4">
      <c r="A24" s="75" t="s">
        <v>76</v>
      </c>
      <c r="B24" s="89">
        <f>CORREL($H$14:$H$18,$B$14:$B$18)</f>
        <v>0.88980766291840152</v>
      </c>
      <c r="C24" s="90"/>
      <c r="D24" s="90"/>
      <c r="E24" s="90"/>
      <c r="F24" s="90"/>
      <c r="G24" s="90"/>
      <c r="H24" s="90"/>
      <c r="I24" s="266" t="s">
        <v>239</v>
      </c>
      <c r="J24" s="206">
        <f>($B$16-$B$20)^2</f>
        <v>0</v>
      </c>
      <c r="K24" s="206" t="s">
        <v>244</v>
      </c>
      <c r="L24" s="86">
        <f>($H$16-$B$21)^2</f>
        <v>6.15040000000009</v>
      </c>
      <c r="M24" s="91"/>
      <c r="O24" s="109"/>
      <c r="Q24" s="91"/>
      <c r="R24" s="91"/>
      <c r="S24" s="91"/>
      <c r="T24" s="91"/>
      <c r="U24" s="91"/>
      <c r="V24" s="91"/>
      <c r="W24" s="91"/>
      <c r="X24" s="91"/>
      <c r="Y24" s="91"/>
      <c r="AA24" s="109"/>
      <c r="AB24" s="91"/>
      <c r="AC24" s="91"/>
      <c r="AD24" s="91"/>
      <c r="AE24" s="91"/>
      <c r="AF24" s="91"/>
      <c r="AG24" s="91"/>
      <c r="AH24" s="91"/>
      <c r="AI24" s="91"/>
      <c r="AJ24" s="91"/>
      <c r="CI24" s="63"/>
      <c r="CJ24" s="63"/>
      <c r="CK24" s="63"/>
    </row>
    <row r="25" spans="1:101" x14ac:dyDescent="0.4">
      <c r="A25" s="75" t="s">
        <v>84</v>
      </c>
      <c r="B25" s="89">
        <f>RSQ($H$14:$H$18,$B$14:$B$18)</f>
        <v>0.79175767698830746</v>
      </c>
      <c r="C25" s="90"/>
      <c r="D25" s="90"/>
      <c r="E25" s="90"/>
      <c r="F25" s="90"/>
      <c r="G25" s="90"/>
      <c r="H25" s="90"/>
      <c r="I25" s="266" t="s">
        <v>240</v>
      </c>
      <c r="J25" s="206">
        <f>($B$17-$B$20)^2</f>
        <v>62500</v>
      </c>
      <c r="K25" s="206" t="s">
        <v>245</v>
      </c>
      <c r="L25" s="86">
        <f>($H$17-$B$21)^2</f>
        <v>0.10239999999998654</v>
      </c>
      <c r="M25" s="91"/>
      <c r="N25" s="92"/>
      <c r="O25" s="109"/>
      <c r="P25" s="86"/>
      <c r="Q25" s="91"/>
      <c r="R25" s="91"/>
      <c r="S25" s="91"/>
      <c r="T25" s="91"/>
      <c r="U25" s="91"/>
      <c r="V25" s="91"/>
      <c r="W25" s="91"/>
      <c r="X25" s="91"/>
      <c r="Y25" s="91"/>
      <c r="AA25" s="109"/>
      <c r="AB25" s="91"/>
      <c r="AC25" s="91"/>
      <c r="AD25" s="91"/>
      <c r="AE25" s="91"/>
      <c r="AF25" s="91"/>
      <c r="AG25" s="91"/>
      <c r="AH25" s="91"/>
      <c r="AI25" s="91"/>
      <c r="AJ25" s="91"/>
      <c r="CI25" s="63"/>
      <c r="CJ25" s="63"/>
      <c r="CK25" s="63"/>
    </row>
    <row r="26" spans="1:101" ht="15.35" x14ac:dyDescent="0.6">
      <c r="A26" s="75" t="s">
        <v>90</v>
      </c>
      <c r="B26" s="89">
        <f>STEYX($H$14:$H$18,$B$14:$B$18)</f>
        <v>2.9400680264238828</v>
      </c>
      <c r="C26" s="90"/>
      <c r="D26" s="90"/>
      <c r="E26" s="90"/>
      <c r="F26" s="90"/>
      <c r="G26" s="90"/>
      <c r="H26" s="90"/>
      <c r="I26" s="266" t="s">
        <v>241</v>
      </c>
      <c r="J26" s="206">
        <f>($B$18-$B$20)^2</f>
        <v>250000</v>
      </c>
      <c r="K26" s="206" t="s">
        <v>213</v>
      </c>
      <c r="L26" s="86">
        <f>($H$18-$B$21)^2</f>
        <v>86.862399999999866</v>
      </c>
      <c r="M26" s="91"/>
      <c r="N26" s="92"/>
      <c r="O26" s="109"/>
      <c r="P26" s="91"/>
      <c r="Q26" s="91"/>
      <c r="R26" s="91"/>
      <c r="S26" s="91"/>
      <c r="T26" s="91"/>
      <c r="U26" s="91"/>
      <c r="V26" s="91"/>
      <c r="W26" s="91"/>
      <c r="X26" s="91"/>
      <c r="Y26" s="91"/>
      <c r="AA26" s="109"/>
      <c r="AB26" s="101"/>
      <c r="AC26" s="91"/>
      <c r="AD26" s="91"/>
      <c r="AE26" s="91"/>
      <c r="AF26" s="91"/>
      <c r="AG26" s="91"/>
      <c r="AH26" s="91"/>
      <c r="AI26" s="91"/>
      <c r="AJ26" s="91"/>
      <c r="CI26" s="63"/>
      <c r="CJ26" s="63"/>
      <c r="CK26" s="63"/>
    </row>
    <row r="27" spans="1:101" x14ac:dyDescent="0.4">
      <c r="A27" s="75" t="s">
        <v>92</v>
      </c>
      <c r="B27" s="89">
        <f>SUM($J$22:$J$26)</f>
        <v>625000</v>
      </c>
      <c r="C27" s="90"/>
      <c r="D27" s="90"/>
      <c r="E27" s="90"/>
      <c r="F27" s="90"/>
      <c r="G27" s="90"/>
      <c r="H27" s="90"/>
      <c r="I27" s="266"/>
      <c r="J27" s="206"/>
      <c r="K27" s="86"/>
      <c r="L27" s="91"/>
      <c r="M27" s="92"/>
      <c r="N27" s="109"/>
      <c r="O27" s="91"/>
      <c r="P27" s="91"/>
      <c r="Q27" s="91"/>
      <c r="R27" s="91"/>
      <c r="S27" s="91"/>
      <c r="T27" s="91"/>
      <c r="U27" s="91"/>
      <c r="V27" s="91"/>
      <c r="W27" s="91"/>
      <c r="X27" s="91"/>
      <c r="Z27" s="109"/>
      <c r="AA27" s="91"/>
      <c r="AB27" s="91"/>
      <c r="AC27" s="91"/>
      <c r="AD27" s="91"/>
      <c r="AE27" s="91"/>
      <c r="AF27" s="91"/>
      <c r="AG27" s="91"/>
      <c r="AH27" s="91"/>
      <c r="AI27" s="91"/>
      <c r="CH27" s="63"/>
      <c r="CI27" s="63"/>
      <c r="CJ27" s="63"/>
      <c r="CK27" s="63"/>
    </row>
    <row r="28" spans="1:101" x14ac:dyDescent="0.4">
      <c r="A28" s="75" t="s">
        <v>237</v>
      </c>
      <c r="B28" s="89">
        <f>SUM($L$22:$L$26)</f>
        <v>124.52800000000019</v>
      </c>
      <c r="C28" s="90"/>
      <c r="D28" s="90"/>
      <c r="E28" s="90"/>
      <c r="F28" s="90"/>
      <c r="G28" s="90"/>
      <c r="H28" s="90"/>
      <c r="I28" s="90"/>
      <c r="J28" s="205" t="s">
        <v>218</v>
      </c>
      <c r="K28" s="205" t="s">
        <v>219</v>
      </c>
      <c r="L28" s="205" t="s">
        <v>220</v>
      </c>
      <c r="M28" s="109"/>
      <c r="N28" s="91"/>
      <c r="O28" s="91"/>
      <c r="P28" s="91"/>
      <c r="Q28" s="91"/>
      <c r="R28" s="91"/>
      <c r="S28" s="91"/>
      <c r="T28" s="91"/>
      <c r="U28" s="91"/>
      <c r="V28" s="91"/>
      <c r="W28" s="91"/>
      <c r="Y28" s="109"/>
      <c r="Z28" s="91"/>
      <c r="AA28" s="91"/>
      <c r="AB28" s="91"/>
      <c r="AC28" s="91"/>
      <c r="AD28" s="91"/>
      <c r="AE28" s="91"/>
      <c r="AF28" s="91"/>
      <c r="AG28" s="91"/>
      <c r="AH28" s="91"/>
      <c r="CG28" s="63"/>
      <c r="CH28" s="63"/>
      <c r="CI28" s="63"/>
      <c r="CJ28" s="63"/>
      <c r="CK28" s="63"/>
    </row>
    <row r="29" spans="1:101" x14ac:dyDescent="0.4">
      <c r="A29" s="75" t="s">
        <v>77</v>
      </c>
      <c r="B29" s="89">
        <f>(SQRT($B$28/$B$32))/(SQRT($B$27))</f>
        <v>2.9432664492540189E-3</v>
      </c>
      <c r="C29" s="90"/>
      <c r="D29" s="90"/>
      <c r="E29" s="90"/>
      <c r="F29" s="90"/>
      <c r="G29" s="90"/>
      <c r="H29" s="90"/>
      <c r="I29" s="205" t="s">
        <v>210</v>
      </c>
      <c r="J29" s="91">
        <f>B14</f>
        <v>0</v>
      </c>
      <c r="K29" s="248">
        <f>B14</f>
        <v>0</v>
      </c>
      <c r="L29" s="247">
        <f>B14</f>
        <v>0</v>
      </c>
      <c r="M29" s="109"/>
      <c r="N29" s="91"/>
      <c r="O29" s="91"/>
      <c r="P29" s="91"/>
      <c r="Q29" s="91"/>
      <c r="R29" s="91"/>
      <c r="S29" s="91"/>
      <c r="T29" s="91"/>
      <c r="U29" s="91"/>
      <c r="V29" s="91"/>
      <c r="W29" s="91"/>
      <c r="Y29" s="109"/>
      <c r="Z29" s="91"/>
      <c r="AA29" s="91"/>
      <c r="AB29" s="91"/>
      <c r="AC29" s="91"/>
      <c r="AD29" s="91"/>
      <c r="AE29" s="91"/>
      <c r="AF29" s="91"/>
      <c r="AG29" s="91"/>
      <c r="AH29" s="91"/>
      <c r="CG29" s="63"/>
      <c r="CH29" s="63"/>
      <c r="CI29" s="63"/>
      <c r="CJ29" s="63"/>
      <c r="CK29" s="63"/>
    </row>
    <row r="30" spans="1:101" x14ac:dyDescent="0.4">
      <c r="A30" s="94" t="s">
        <v>78</v>
      </c>
      <c r="B30" s="95">
        <f>COUNT($C$14:$G$18)</f>
        <v>25</v>
      </c>
      <c r="C30" s="90"/>
      <c r="D30" s="90"/>
      <c r="E30" s="90"/>
      <c r="F30" s="90"/>
      <c r="G30" s="90"/>
      <c r="H30" s="90"/>
      <c r="I30" s="205" t="s">
        <v>211</v>
      </c>
      <c r="J30" s="91">
        <f>B18</f>
        <v>1000</v>
      </c>
      <c r="K30" s="247">
        <f>B18</f>
        <v>1000</v>
      </c>
      <c r="L30" s="247">
        <f>B18</f>
        <v>1000</v>
      </c>
      <c r="M30" s="109"/>
      <c r="N30" s="91"/>
      <c r="O30" s="91"/>
      <c r="P30" s="91"/>
      <c r="Q30" s="91"/>
      <c r="R30" s="91"/>
      <c r="S30" s="91"/>
      <c r="T30" s="91"/>
      <c r="U30" s="91"/>
      <c r="V30" s="91"/>
      <c r="W30" s="91"/>
      <c r="Y30" s="109"/>
      <c r="Z30" s="100"/>
      <c r="AA30" s="91"/>
      <c r="AB30" s="91"/>
      <c r="AC30" s="91"/>
      <c r="AD30" s="91"/>
      <c r="AE30" s="91"/>
      <c r="AF30" s="91"/>
      <c r="AG30" s="91"/>
      <c r="AH30" s="91"/>
      <c r="CG30" s="63"/>
      <c r="CH30" s="63"/>
      <c r="CI30" s="63"/>
      <c r="CJ30" s="63"/>
      <c r="CK30" s="63"/>
    </row>
    <row r="31" spans="1:101" x14ac:dyDescent="0.4">
      <c r="A31" s="75" t="s">
        <v>99</v>
      </c>
      <c r="B31" s="93">
        <f>$B$23/$B$29</f>
        <v>4.2673676395092883</v>
      </c>
      <c r="C31" s="90"/>
      <c r="D31" s="90"/>
      <c r="E31" s="90"/>
      <c r="F31" s="90"/>
      <c r="G31" s="90"/>
      <c r="H31" s="90"/>
      <c r="I31" s="205" t="s">
        <v>212</v>
      </c>
      <c r="J31" s="91">
        <f>H14</f>
        <v>118.2</v>
      </c>
      <c r="K31" s="247">
        <f>$H$14+(1*$I$5)</f>
        <v>123.2</v>
      </c>
      <c r="L31" s="247">
        <f>$H$14-(1*$I$5)</f>
        <v>113.2</v>
      </c>
      <c r="M31" s="109"/>
      <c r="N31" s="91"/>
      <c r="O31" s="91"/>
      <c r="P31" s="91"/>
      <c r="Q31" s="91"/>
      <c r="R31" s="91"/>
      <c r="S31" s="91"/>
      <c r="T31" s="91"/>
      <c r="U31" s="91"/>
      <c r="V31" s="91"/>
      <c r="W31" s="91"/>
      <c r="Y31" s="109"/>
      <c r="Z31" s="100"/>
      <c r="AA31" s="91"/>
      <c r="AB31" s="91"/>
      <c r="AC31" s="91"/>
      <c r="AD31" s="91"/>
      <c r="AE31" s="91"/>
      <c r="AF31" s="91"/>
      <c r="AG31" s="91"/>
      <c r="AH31" s="91"/>
      <c r="CG31" s="63"/>
      <c r="CH31" s="63"/>
      <c r="CI31" s="63"/>
      <c r="CJ31" s="63"/>
      <c r="CK31" s="63"/>
    </row>
    <row r="32" spans="1:101" x14ac:dyDescent="0.4">
      <c r="A32" s="94" t="s">
        <v>79</v>
      </c>
      <c r="B32" s="95">
        <f>$B$30-2</f>
        <v>23</v>
      </c>
      <c r="C32" s="90"/>
      <c r="D32" s="90"/>
      <c r="E32" s="90"/>
      <c r="F32" s="90"/>
      <c r="G32" s="90"/>
      <c r="H32" s="90"/>
      <c r="I32" s="205" t="s">
        <v>213</v>
      </c>
      <c r="J32" s="91">
        <f>H14</f>
        <v>118.2</v>
      </c>
      <c r="K32" s="247">
        <f>$H$14+(1*$I$5)</f>
        <v>123.2</v>
      </c>
      <c r="L32" s="247">
        <f>$H$14-(1*$I$5)</f>
        <v>113.2</v>
      </c>
      <c r="M32" s="67"/>
      <c r="N32" s="109"/>
      <c r="O32" s="91"/>
      <c r="P32" s="91"/>
      <c r="Q32" s="91"/>
      <c r="R32" s="91"/>
      <c r="S32" s="91"/>
      <c r="T32" s="91"/>
      <c r="U32" s="91"/>
      <c r="V32" s="91"/>
      <c r="W32" s="91"/>
      <c r="X32" s="91"/>
      <c r="Z32" s="109"/>
      <c r="AA32" s="102"/>
      <c r="AB32" s="91"/>
      <c r="AC32" s="91"/>
      <c r="AD32" s="91"/>
      <c r="AE32" s="91"/>
      <c r="AF32" s="91"/>
      <c r="AG32" s="91"/>
      <c r="AH32" s="91"/>
      <c r="AI32" s="91"/>
      <c r="CH32" s="63"/>
      <c r="CI32" s="63"/>
      <c r="CJ32" s="63"/>
      <c r="CK32" s="63"/>
    </row>
    <row r="33" spans="1:89" x14ac:dyDescent="0.4">
      <c r="A33" s="94" t="s">
        <v>95</v>
      </c>
      <c r="B33" s="89">
        <f>TINV(0.05,$B$32)</f>
        <v>2.0686576104190491</v>
      </c>
      <c r="C33" s="90"/>
      <c r="D33" s="90"/>
      <c r="E33" s="90"/>
      <c r="F33" s="90"/>
      <c r="G33" s="90"/>
      <c r="H33" s="90"/>
      <c r="I33" s="90"/>
      <c r="J33" s="91"/>
      <c r="K33" s="247"/>
      <c r="L33" s="247"/>
      <c r="M33" s="67"/>
      <c r="N33" s="109"/>
      <c r="O33" s="91"/>
      <c r="P33" s="91"/>
      <c r="Q33" s="91"/>
      <c r="R33" s="91"/>
      <c r="S33" s="91"/>
      <c r="T33" s="91"/>
      <c r="U33" s="91"/>
      <c r="V33" s="91"/>
      <c r="W33" s="91"/>
      <c r="X33" s="91"/>
      <c r="Z33" s="109"/>
      <c r="AA33" s="91"/>
      <c r="AB33" s="91"/>
      <c r="AC33" s="91"/>
      <c r="AD33" s="91"/>
      <c r="AE33" s="91"/>
      <c r="AF33" s="91"/>
      <c r="AG33" s="91"/>
      <c r="AH33" s="91"/>
      <c r="AI33" s="91"/>
      <c r="CH33" s="63"/>
      <c r="CI33" s="63"/>
      <c r="CJ33" s="63"/>
      <c r="CK33" s="63"/>
    </row>
    <row r="34" spans="1:89" ht="13" x14ac:dyDescent="0.45">
      <c r="A34" s="75" t="s">
        <v>156</v>
      </c>
      <c r="B34" s="96" t="str">
        <f>IF(ABS($B$31)&gt;$B$33,"YES","NO")</f>
        <v>YES</v>
      </c>
      <c r="C34" s="66"/>
      <c r="D34" s="66"/>
      <c r="E34" s="66"/>
      <c r="F34" s="66"/>
      <c r="G34" s="66"/>
      <c r="H34" s="66"/>
      <c r="I34" s="90"/>
      <c r="J34" s="205" t="s">
        <v>218</v>
      </c>
      <c r="K34" s="205" t="s">
        <v>222</v>
      </c>
      <c r="L34" s="205" t="s">
        <v>221</v>
      </c>
      <c r="M34" s="67"/>
      <c r="N34" s="109"/>
      <c r="Z34" s="109"/>
      <c r="CH34" s="63"/>
      <c r="CI34" s="63"/>
      <c r="CJ34" s="63"/>
      <c r="CK34" s="63"/>
    </row>
    <row r="35" spans="1:89" x14ac:dyDescent="0.4">
      <c r="A35" s="66"/>
      <c r="B35" s="66"/>
      <c r="C35" s="66"/>
      <c r="D35" s="66"/>
      <c r="E35" s="66"/>
      <c r="F35" s="66"/>
      <c r="G35" s="66"/>
      <c r="H35" s="66"/>
      <c r="I35" s="249" t="s">
        <v>210</v>
      </c>
      <c r="J35" s="205">
        <f>B14</f>
        <v>0</v>
      </c>
      <c r="K35" s="91">
        <f>B14</f>
        <v>0</v>
      </c>
      <c r="L35" s="91">
        <f>B14</f>
        <v>0</v>
      </c>
      <c r="M35" s="67"/>
      <c r="CH35" s="63"/>
      <c r="CI35" s="63"/>
      <c r="CJ35" s="63"/>
      <c r="CK35" s="63"/>
    </row>
    <row r="36" spans="1:89" x14ac:dyDescent="0.4">
      <c r="A36" s="72" t="s">
        <v>97</v>
      </c>
      <c r="B36" s="64"/>
      <c r="C36" s="64"/>
      <c r="D36" s="73"/>
      <c r="E36" s="73"/>
      <c r="F36" s="64"/>
      <c r="G36" s="64"/>
      <c r="H36" s="64"/>
      <c r="I36" s="249" t="s">
        <v>211</v>
      </c>
      <c r="J36" s="249">
        <f>B18</f>
        <v>1000</v>
      </c>
      <c r="K36" s="247">
        <f>B18</f>
        <v>1000</v>
      </c>
      <c r="L36" s="247">
        <f>B18</f>
        <v>1000</v>
      </c>
      <c r="M36" s="67"/>
      <c r="N36" s="126"/>
      <c r="O36" s="109"/>
      <c r="P36" s="127"/>
      <c r="Q36" s="127"/>
      <c r="R36" s="109"/>
      <c r="S36" s="109"/>
      <c r="T36" s="109"/>
      <c r="U36" s="109"/>
      <c r="V36" s="109"/>
      <c r="W36" s="109"/>
      <c r="X36" s="109"/>
      <c r="Z36" s="126"/>
      <c r="AA36" s="109"/>
      <c r="AB36" s="109"/>
      <c r="AC36" s="127"/>
      <c r="AD36" s="127"/>
      <c r="AE36" s="109"/>
      <c r="AF36" s="109"/>
      <c r="AG36" s="109"/>
      <c r="AH36" s="109"/>
      <c r="AI36" s="109"/>
      <c r="CH36" s="63"/>
      <c r="CI36" s="63"/>
      <c r="CJ36" s="63"/>
      <c r="CK36" s="63"/>
    </row>
    <row r="37" spans="1:89" x14ac:dyDescent="0.4">
      <c r="A37" s="62" t="str">
        <f>IF($B$34="YES", "The slope is NOT statistically significantly different from zero.", "The slope IS statistically significantly different from zero, indicating that interference is statistically significant.")</f>
        <v>The slope is NOT statistically significantly different from zero.</v>
      </c>
      <c r="B37" s="64"/>
      <c r="C37" s="64"/>
      <c r="D37" s="73"/>
      <c r="E37" s="73"/>
      <c r="F37" s="64"/>
      <c r="G37" s="64"/>
      <c r="H37" s="64"/>
      <c r="I37" s="250" t="s">
        <v>212</v>
      </c>
      <c r="J37" s="249">
        <f>H14</f>
        <v>118.2</v>
      </c>
      <c r="K37" s="247">
        <f>$H$14+($H$14*$I$6)</f>
        <v>130.02000000000001</v>
      </c>
      <c r="L37" s="247">
        <f>$H$14-($H$14*$I$6)</f>
        <v>106.38</v>
      </c>
      <c r="M37" s="67"/>
      <c r="N37" s="74"/>
      <c r="O37" s="109"/>
      <c r="P37" s="127"/>
      <c r="Q37" s="127"/>
      <c r="R37" s="109"/>
      <c r="S37" s="109"/>
      <c r="T37" s="109"/>
      <c r="U37" s="109"/>
      <c r="V37" s="109"/>
      <c r="W37" s="109"/>
      <c r="X37" s="109"/>
      <c r="Z37" s="74"/>
      <c r="AA37" s="109"/>
      <c r="AB37" s="109"/>
      <c r="AC37" s="127"/>
      <c r="AD37" s="127"/>
      <c r="AE37" s="109"/>
      <c r="AF37" s="109"/>
      <c r="AG37" s="109"/>
      <c r="AH37" s="109"/>
      <c r="AI37" s="109"/>
      <c r="CH37" s="63"/>
      <c r="CI37" s="63"/>
      <c r="CJ37" s="63"/>
      <c r="CK37" s="63"/>
    </row>
    <row r="38" spans="1:89" ht="13.95" customHeight="1" x14ac:dyDescent="0.4">
      <c r="I38" s="250" t="s">
        <v>213</v>
      </c>
      <c r="J38" s="268">
        <f>H14</f>
        <v>118.2</v>
      </c>
      <c r="K38" s="247">
        <f>$H$14+($H$14*$I$6)</f>
        <v>130.02000000000001</v>
      </c>
      <c r="L38" s="247">
        <f>$H$14-($H$14*$I$6)</f>
        <v>106.38</v>
      </c>
    </row>
    <row r="39" spans="1:89" x14ac:dyDescent="0.4">
      <c r="A39" s="105" t="str">
        <f>IF(AND($J$15="YES",$L$16="YES"),"Bias with Interferent Level 2 &gt; the acceptable limit (Dmax), indicating that Interference is Clinically Significant. ", "Bias with Interferent Level 2 &lt; the acceptable limit (Dmax), indicating that Interference is NOT Clinically Significant.")</f>
        <v>Bias with Interferent Level 2 &lt; the acceptable limit (Dmax), indicating that Interference is NOT Clinically Significant.</v>
      </c>
      <c r="J39" s="207"/>
      <c r="K39" s="207"/>
      <c r="L39" s="207"/>
      <c r="M39" s="67"/>
      <c r="N39" s="74"/>
      <c r="Z39" s="74"/>
      <c r="CH39" s="63"/>
      <c r="CI39" s="63"/>
      <c r="CJ39" s="63"/>
      <c r="CK39" s="63"/>
    </row>
    <row r="40" spans="1:89" x14ac:dyDescent="0.4">
      <c r="A40" s="62" t="str">
        <f>IF(AND($J$16 ="YES",$L$16="YES"), "Bias with Interferent Level 3 &gt; the acceptable limit (Dmax), indicating that Interference is Clinically Significant. ", "Bias with Interferent Level 3 &lt; the acceptable limit (Dmax), indicating that Interference is NOT Clinically Significant.")</f>
        <v>Bias with Interferent Level 3 &lt; the acceptable limit (Dmax), indicating that Interference is NOT Clinically Significant.</v>
      </c>
      <c r="M40" s="67"/>
      <c r="N40" s="74"/>
      <c r="Z40" s="74"/>
      <c r="CH40" s="63"/>
      <c r="CI40" s="63"/>
      <c r="CJ40" s="63"/>
      <c r="CK40" s="63"/>
    </row>
    <row r="41" spans="1:89" x14ac:dyDescent="0.4">
      <c r="A41" s="62" t="str">
        <f>IF(AND($J$17 ="YES",$L$17="YES"), "Bias with Interferent Level 4 &gt; the acceptable limit (Dmax), indicating that Interference is Clinically Significant. ", "Bias with Interferent Level 4 &lt; the acceptable limit (Dmax), indicating that Interference is NOT Clinically Significant.")</f>
        <v>Bias with Interferent Level 4 &lt; the acceptable limit (Dmax), indicating that Interference is NOT Clinically Significant.</v>
      </c>
      <c r="J41" s="67"/>
      <c r="K41" s="67"/>
      <c r="L41" s="67"/>
      <c r="M41" s="67"/>
      <c r="N41" s="74"/>
      <c r="Z41" s="74"/>
      <c r="CH41" s="63"/>
      <c r="CI41" s="63"/>
      <c r="CJ41" s="63"/>
      <c r="CK41" s="63"/>
    </row>
    <row r="42" spans="1:89" s="64" customFormat="1" x14ac:dyDescent="0.4">
      <c r="A42" s="251" t="str">
        <f>IF(AND($J$18 ="NO",$L$18="NO"), "Bias with Interferent Level 5 &lt; the acceptable limit (Dmax), indicating that Interference is NOT Clinically Significant. ", "Bias with Interferent Level 5 &gt; the acceptable limit (Dmax), indicating that Interference IS Clinically Significant.")</f>
        <v>Bias with Interferent Level 5 &gt; the acceptable limit (Dmax), indicating that Interference IS Clinically Significant.</v>
      </c>
      <c r="D42" s="73"/>
      <c r="E42" s="73"/>
      <c r="J42" s="109"/>
      <c r="K42" s="109"/>
      <c r="L42" s="109"/>
      <c r="M42" s="109"/>
      <c r="N42" s="109"/>
      <c r="O42" s="109"/>
      <c r="P42" s="127"/>
      <c r="Q42" s="127"/>
      <c r="R42" s="109"/>
      <c r="S42" s="109"/>
      <c r="T42" s="109"/>
      <c r="U42" s="109"/>
      <c r="V42" s="109"/>
      <c r="W42" s="109"/>
      <c r="X42" s="109"/>
      <c r="Y42" s="109"/>
      <c r="Z42" s="109"/>
      <c r="AA42" s="109"/>
      <c r="AB42" s="109"/>
      <c r="AC42" s="127"/>
      <c r="AD42" s="127"/>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row>
    <row r="43" spans="1:89" ht="12.75" customHeight="1" x14ac:dyDescent="0.4">
      <c r="I43" s="64"/>
      <c r="J43" s="67"/>
      <c r="K43" s="67"/>
      <c r="L43" s="67"/>
      <c r="M43" s="67"/>
      <c r="CH43" s="63"/>
      <c r="CI43" s="63"/>
      <c r="CJ43" s="63"/>
      <c r="CK43" s="63"/>
    </row>
    <row r="44" spans="1:89" s="64" customFormat="1" x14ac:dyDescent="0.4">
      <c r="A44" s="64" t="s">
        <v>124</v>
      </c>
      <c r="F44" s="207"/>
      <c r="G44" s="207"/>
      <c r="H44" s="207"/>
      <c r="I44" s="207"/>
      <c r="J44" s="208" t="s">
        <v>216</v>
      </c>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row>
    <row r="45" spans="1:89" s="64" customFormat="1" x14ac:dyDescent="0.4">
      <c r="A45" s="64" t="s">
        <v>128</v>
      </c>
      <c r="B45" s="71" t="s">
        <v>94</v>
      </c>
      <c r="C45" s="71" t="s">
        <v>75</v>
      </c>
      <c r="D45" s="64" t="s">
        <v>98</v>
      </c>
      <c r="F45" s="207" t="s">
        <v>129</v>
      </c>
      <c r="G45" s="207" t="s">
        <v>94</v>
      </c>
      <c r="H45" s="207" t="s">
        <v>75</v>
      </c>
      <c r="I45" s="207" t="s">
        <v>98</v>
      </c>
      <c r="J45" s="207" t="s">
        <v>217</v>
      </c>
      <c r="K45" s="67"/>
      <c r="L45" s="67"/>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row>
    <row r="46" spans="1:89" s="64" customFormat="1" x14ac:dyDescent="0.4">
      <c r="A46" s="105" t="s">
        <v>154</v>
      </c>
      <c r="B46" s="244">
        <f>IF($I$5="","",SLOPE($I$14:$I$15,$B$14:$B$15))</f>
        <v>1.3599999999999966E-2</v>
      </c>
      <c r="C46" s="244">
        <f>IF($I$5="","",INTERCEPT($I$14:$I$15,$B$14:$B$15))</f>
        <v>0</v>
      </c>
      <c r="D46" s="110">
        <f>IF($I$5="","",ABS(($I$5-$C$46)/$B$46))</f>
        <v>367.6470588235303</v>
      </c>
      <c r="E46" s="110"/>
      <c r="F46" s="105" t="s">
        <v>154</v>
      </c>
      <c r="G46" s="244">
        <f>IF($I$6="","",SLOPE($K$14:$K$15,$B$14:$B$15))</f>
        <v>1.1505922165820612E-4</v>
      </c>
      <c r="H46" s="244">
        <f>IF($I$6="","",INTERCEPT($K$14:$K$15,$B$14:$B$15))</f>
        <v>1.7347234759768071E-18</v>
      </c>
      <c r="I46" s="110">
        <f>IF($I$6="","",ABS(($I$6-$H$46)/$G$46))</f>
        <v>869.11764705882592</v>
      </c>
      <c r="J46" s="128">
        <f>MAX($D$46,$I$46)</f>
        <v>869.11764705882592</v>
      </c>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row>
    <row r="47" spans="1:89" x14ac:dyDescent="0.4">
      <c r="A47" s="105" t="s">
        <v>125</v>
      </c>
      <c r="B47" s="244">
        <f>IF($I$5="","",SLOPE($I$15:$I$16,$B$15:$B$16))</f>
        <v>-2.3999999999999772E-3</v>
      </c>
      <c r="C47" s="244">
        <f>IF($I$5="","",INTERCEPT($I$15:$I$16,$B$15:$B$16))</f>
        <v>3.9999999999999858</v>
      </c>
      <c r="D47" s="110">
        <f>IF($I$5="","",ABS(($I$5-$C$47)/$B$47))</f>
        <v>416.66666666667652</v>
      </c>
      <c r="E47" s="110"/>
      <c r="F47" s="105" t="s">
        <v>125</v>
      </c>
      <c r="G47" s="244">
        <f>IF($I$6="","",SLOPE($K$15:$K$16,$B$15:$B$16))</f>
        <v>-2.0304568527918581E-5</v>
      </c>
      <c r="H47" s="244">
        <f>IF($I$6="","",INTERCEPT($K$15:$K$16,$B$15:$B$16))</f>
        <v>3.3840947546531178E-2</v>
      </c>
      <c r="I47" s="110">
        <f>IF($I$6="","",ABS(($I$6-$H$47)/$G$47))</f>
        <v>3258.3333333333721</v>
      </c>
      <c r="J47" s="128">
        <f>MAX($D$47,$I$47)</f>
        <v>3258.3333333333721</v>
      </c>
      <c r="K47" s="109"/>
      <c r="L47" s="109"/>
      <c r="M47" s="67"/>
      <c r="CH47" s="63"/>
      <c r="CI47" s="63"/>
      <c r="CJ47" s="63"/>
      <c r="CK47" s="63"/>
    </row>
    <row r="48" spans="1:89" x14ac:dyDescent="0.4">
      <c r="A48" s="105" t="s">
        <v>126</v>
      </c>
      <c r="B48" s="244">
        <f>IF($I$5="","",SLOPE($I$16:$I$17,$B$16:$B$17))</f>
        <v>1.1199999999999989E-2</v>
      </c>
      <c r="C48" s="244">
        <f>IF($I$5="","",INTERCEPT($I$16:$I$17,$B$16:$B$17))</f>
        <v>-2.799999999999998</v>
      </c>
      <c r="D48" s="110">
        <f>IF($I$5="","",ABS(($I$5-$C$48)/$B$48))</f>
        <v>696.4285714285719</v>
      </c>
      <c r="E48" s="110"/>
      <c r="F48" s="105" t="s">
        <v>126</v>
      </c>
      <c r="G48" s="244">
        <f>IF($I$6="","",SLOPE($K$16:$K$17,$B$16:$B$17))</f>
        <v>9.4754653130287546E-5</v>
      </c>
      <c r="H48" s="244">
        <f>IF($I$6="","",INTERCEPT($K$16:$K$17,$B$16:$B$17))</f>
        <v>-2.3688663282571881E-2</v>
      </c>
      <c r="I48" s="110">
        <f>IF($I$6="","",ABS(($I$6-$H$48)/$G$48))</f>
        <v>1305.357142857144</v>
      </c>
      <c r="J48" s="128">
        <f>MAX($D$48,$I$48)</f>
        <v>1305.357142857144</v>
      </c>
      <c r="K48" s="109"/>
      <c r="L48" s="109"/>
      <c r="M48" s="67"/>
      <c r="CH48" s="63"/>
      <c r="CI48" s="63"/>
      <c r="CJ48" s="63"/>
      <c r="CK48" s="63"/>
    </row>
    <row r="49" spans="1:89" x14ac:dyDescent="0.4">
      <c r="A49" s="105" t="s">
        <v>127</v>
      </c>
      <c r="B49" s="244">
        <f>IF($I$5="","",SLOPE($I$17:$I$18,$B$17:$B$18))</f>
        <v>3.600000000000006E-2</v>
      </c>
      <c r="C49" s="244">
        <f>IF($I$5="","",INTERCEPT($I$17:$I$18,$B$17:$B$18))</f>
        <v>-21.400000000000052</v>
      </c>
      <c r="D49" s="110">
        <f>IF($I$5="","",ABS(($I$5-$C$49)/$B$49))</f>
        <v>733.3333333333336</v>
      </c>
      <c r="E49" s="110"/>
      <c r="F49" s="105" t="s">
        <v>127</v>
      </c>
      <c r="G49" s="244">
        <f>IF($I$6="","",SLOPE($K$17:$K$18,$B$17:$B$18))</f>
        <v>3.0456852791878222E-4</v>
      </c>
      <c r="H49" s="244">
        <f>IF($I$6="","",INTERCEPT($K$17:$K$18,$B$17:$B$18))</f>
        <v>-0.18104906937394288</v>
      </c>
      <c r="I49" s="110">
        <f>IF($I$6="","",ABS(($I$6-$H$49)/$G$49))</f>
        <v>922.77777777777771</v>
      </c>
      <c r="J49" s="128">
        <f>MAX($D$49,$I$49)</f>
        <v>922.77777777777771</v>
      </c>
      <c r="K49" s="67"/>
      <c r="L49" s="67"/>
      <c r="M49" s="67"/>
      <c r="CH49" s="63"/>
      <c r="CI49" s="63"/>
      <c r="CJ49" s="63"/>
      <c r="CK49" s="63"/>
    </row>
    <row r="50" spans="1:89" x14ac:dyDescent="0.4">
      <c r="J50" s="67"/>
      <c r="K50" s="67"/>
      <c r="L50" s="67"/>
      <c r="M50" s="67"/>
      <c r="CG50" s="63"/>
      <c r="CH50" s="63"/>
      <c r="CI50" s="63"/>
      <c r="CJ50" s="63"/>
      <c r="CK50" s="63"/>
    </row>
    <row r="51" spans="1:89" s="252" customFormat="1" ht="13" thickBot="1" x14ac:dyDescent="0.45">
      <c r="A51" s="267" t="s">
        <v>246</v>
      </c>
      <c r="C51" s="271" t="s">
        <v>249</v>
      </c>
      <c r="D51" s="271" t="s">
        <v>250</v>
      </c>
      <c r="E51" s="271" t="s">
        <v>251</v>
      </c>
      <c r="F51" s="271" t="s">
        <v>252</v>
      </c>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row>
    <row r="52" spans="1:89" s="64" customFormat="1" ht="13" thickBot="1" x14ac:dyDescent="0.45">
      <c r="A52" s="129" t="s">
        <v>155</v>
      </c>
      <c r="B52" s="130"/>
      <c r="C52" s="131" t="str">
        <f>IF(OR($J$15="NO",$L$15="NO"),"",$J$46)</f>
        <v/>
      </c>
      <c r="D52" s="131" t="str">
        <f>IF(OR($J$16="NO",$L$16="NO"),"",$J$47)</f>
        <v/>
      </c>
      <c r="E52" s="131" t="str">
        <f>IF(OR($J$17="NO",$L$17="NO"),"",J48)</f>
        <v/>
      </c>
      <c r="F52" s="131">
        <f>IF(OR($J$18="NO",$L$18="NO"),"",$J$49)</f>
        <v>922.77777777777771</v>
      </c>
      <c r="J52" s="109"/>
      <c r="K52" s="67"/>
      <c r="L52" s="67"/>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row>
    <row r="53" spans="1:89" x14ac:dyDescent="0.4">
      <c r="J53" s="67"/>
      <c r="K53" s="67"/>
      <c r="L53" s="67"/>
      <c r="M53" s="67"/>
      <c r="CG53" s="63"/>
      <c r="CH53" s="63"/>
      <c r="CI53" s="63"/>
      <c r="CJ53" s="63"/>
      <c r="CK53" s="63"/>
    </row>
    <row r="54" spans="1:89" x14ac:dyDescent="0.4">
      <c r="J54" s="67"/>
      <c r="K54" s="109"/>
      <c r="L54" s="109"/>
      <c r="M54" s="67"/>
      <c r="CG54" s="63"/>
      <c r="CH54" s="63"/>
      <c r="CI54" s="63"/>
      <c r="CJ54" s="63"/>
      <c r="CK54" s="63"/>
    </row>
    <row r="55" spans="1:89" x14ac:dyDescent="0.4">
      <c r="A55" s="64" t="s">
        <v>66</v>
      </c>
      <c r="B55" s="64"/>
      <c r="C55" s="64"/>
      <c r="D55" s="64"/>
      <c r="E55" s="64"/>
      <c r="F55" s="64"/>
      <c r="G55" s="64"/>
      <c r="H55" s="64"/>
      <c r="I55" s="64"/>
      <c r="J55" s="64"/>
      <c r="K55" s="67"/>
      <c r="L55" s="67"/>
      <c r="M55" s="109"/>
      <c r="N55" s="109"/>
      <c r="O55" s="109"/>
      <c r="P55" s="109"/>
      <c r="Q55" s="109"/>
      <c r="R55" s="109"/>
      <c r="S55" s="109"/>
      <c r="T55" s="109"/>
      <c r="U55" s="109"/>
      <c r="V55" s="109"/>
      <c r="W55" s="109"/>
      <c r="Y55" s="109"/>
      <c r="Z55" s="109"/>
      <c r="AA55" s="109"/>
      <c r="AB55" s="109"/>
      <c r="AC55" s="109"/>
      <c r="AD55" s="109"/>
      <c r="AE55" s="109"/>
      <c r="AF55" s="109"/>
      <c r="AG55" s="109"/>
      <c r="AH55" s="109"/>
      <c r="CG55" s="63"/>
      <c r="CH55" s="63"/>
      <c r="CI55" s="63"/>
      <c r="CJ55" s="63"/>
      <c r="CK55" s="63"/>
    </row>
    <row r="56" spans="1:89" x14ac:dyDescent="0.4">
      <c r="K56" s="67"/>
      <c r="L56" s="67"/>
      <c r="M56" s="67"/>
      <c r="CG56" s="63"/>
      <c r="CH56" s="63"/>
      <c r="CI56" s="63"/>
      <c r="CJ56" s="63"/>
      <c r="CK56" s="63"/>
    </row>
    <row r="57" spans="1:89" x14ac:dyDescent="0.4">
      <c r="B57" s="106"/>
      <c r="C57" s="106"/>
      <c r="D57" s="106"/>
      <c r="E57" s="106"/>
      <c r="G57" s="106"/>
      <c r="H57" s="106"/>
      <c r="I57" s="106"/>
      <c r="J57" s="106"/>
      <c r="K57" s="64"/>
      <c r="L57" s="67"/>
      <c r="M57" s="67"/>
      <c r="O57" s="137"/>
      <c r="P57" s="137"/>
      <c r="Q57" s="137"/>
      <c r="S57" s="137"/>
      <c r="T57" s="137"/>
      <c r="U57" s="137"/>
      <c r="V57" s="137"/>
      <c r="W57" s="137"/>
      <c r="X57" s="137"/>
      <c r="AA57" s="137"/>
      <c r="AB57" s="137"/>
      <c r="AC57" s="137"/>
      <c r="AD57" s="137"/>
      <c r="AF57" s="137"/>
      <c r="AG57" s="137"/>
      <c r="AH57" s="137"/>
      <c r="AI57" s="137"/>
      <c r="CH57" s="63"/>
      <c r="CI57" s="63"/>
      <c r="CJ57" s="63"/>
      <c r="CK57" s="63"/>
    </row>
    <row r="58" spans="1:89" x14ac:dyDescent="0.4">
      <c r="A58" s="64" t="s">
        <v>67</v>
      </c>
      <c r="B58" s="107"/>
      <c r="C58" s="107"/>
      <c r="D58" s="107"/>
      <c r="E58" s="107"/>
      <c r="F58" s="64" t="s">
        <v>5</v>
      </c>
      <c r="G58" s="107"/>
      <c r="H58" s="107"/>
      <c r="I58" s="107"/>
      <c r="J58" s="107"/>
      <c r="L58" s="67"/>
      <c r="M58" s="67"/>
      <c r="N58" s="109"/>
      <c r="O58" s="137"/>
      <c r="P58" s="137"/>
      <c r="Q58" s="137"/>
      <c r="R58" s="109"/>
      <c r="S58" s="137"/>
      <c r="T58" s="137"/>
      <c r="U58" s="137"/>
      <c r="V58" s="137"/>
      <c r="W58" s="137"/>
      <c r="X58" s="137"/>
      <c r="Z58" s="109"/>
      <c r="AA58" s="137"/>
      <c r="AB58" s="137"/>
      <c r="AC58" s="137"/>
      <c r="AD58" s="137"/>
      <c r="AE58" s="109"/>
      <c r="AF58" s="137"/>
      <c r="AG58" s="137"/>
      <c r="AH58" s="137"/>
      <c r="AI58" s="137"/>
      <c r="CH58" s="63"/>
      <c r="CI58" s="63"/>
      <c r="CJ58" s="63"/>
      <c r="CK58" s="63"/>
    </row>
    <row r="59" spans="1:89" x14ac:dyDescent="0.4">
      <c r="B59" s="67"/>
      <c r="C59" s="67"/>
      <c r="D59" s="67"/>
      <c r="E59" s="67"/>
      <c r="F59" s="67"/>
      <c r="G59" s="67"/>
      <c r="H59" s="67"/>
      <c r="I59" s="67"/>
      <c r="J59" s="67"/>
      <c r="K59" s="106"/>
      <c r="L59" s="106"/>
      <c r="M59" s="67"/>
      <c r="CH59" s="63"/>
      <c r="CI59" s="63"/>
      <c r="CJ59" s="63"/>
      <c r="CK59" s="63"/>
    </row>
    <row r="60" spans="1:89" x14ac:dyDescent="0.4">
      <c r="B60" s="49" t="s">
        <v>131</v>
      </c>
      <c r="C60"/>
      <c r="D60"/>
      <c r="E60"/>
      <c r="F60"/>
      <c r="G60"/>
      <c r="H60"/>
      <c r="I60"/>
      <c r="J60"/>
      <c r="K60" s="108"/>
      <c r="L60" s="108"/>
      <c r="M60"/>
      <c r="CH60" s="63"/>
      <c r="CI60" s="63"/>
      <c r="CJ60" s="63"/>
      <c r="CK60" s="63"/>
    </row>
    <row r="61" spans="1:89" x14ac:dyDescent="0.4">
      <c r="A61">
        <v>1</v>
      </c>
      <c r="B61" s="49" t="s">
        <v>132</v>
      </c>
      <c r="C61"/>
      <c r="D61"/>
      <c r="E61"/>
      <c r="F61"/>
      <c r="G61"/>
      <c r="H61"/>
      <c r="I61"/>
      <c r="J61"/>
      <c r="K61" s="67"/>
      <c r="L61" s="67"/>
      <c r="M61"/>
      <c r="CH61" s="63"/>
      <c r="CI61" s="63"/>
      <c r="CJ61" s="63"/>
      <c r="CK61" s="63"/>
    </row>
    <row r="62" spans="1:89" x14ac:dyDescent="0.4">
      <c r="A62"/>
      <c r="B62" s="49" t="s">
        <v>134</v>
      </c>
      <c r="C62"/>
      <c r="D62"/>
      <c r="E62"/>
      <c r="F62"/>
      <c r="G62"/>
      <c r="H62"/>
      <c r="I62"/>
      <c r="J62"/>
      <c r="K62"/>
      <c r="L62"/>
      <c r="M62"/>
      <c r="CH62" s="63"/>
      <c r="CI62" s="63"/>
      <c r="CJ62" s="63"/>
      <c r="CK62" s="63"/>
    </row>
    <row r="63" spans="1:89" x14ac:dyDescent="0.4">
      <c r="A63">
        <v>2</v>
      </c>
      <c r="B63" s="49" t="s">
        <v>133</v>
      </c>
      <c r="C63"/>
      <c r="D63"/>
      <c r="E63"/>
      <c r="F63"/>
      <c r="G63"/>
      <c r="H63"/>
      <c r="I63"/>
      <c r="J63"/>
      <c r="K63"/>
      <c r="L63"/>
      <c r="M63"/>
      <c r="CH63" s="63"/>
      <c r="CI63" s="63"/>
      <c r="CJ63" s="63"/>
      <c r="CK63" s="63"/>
    </row>
    <row r="64" spans="1:89" x14ac:dyDescent="0.4">
      <c r="A64" s="63">
        <v>3</v>
      </c>
      <c r="B64" s="49" t="s">
        <v>234</v>
      </c>
      <c r="C64" s="97"/>
      <c r="D64" s="98"/>
      <c r="E64" s="99"/>
      <c r="F64" s="98"/>
      <c r="G64" s="137"/>
      <c r="H64" s="137"/>
      <c r="I64" s="137"/>
      <c r="J64" s="137"/>
      <c r="K64"/>
      <c r="L64"/>
      <c r="M64" s="67"/>
      <c r="CH64" s="63"/>
      <c r="CI64" s="63"/>
      <c r="CJ64" s="63"/>
      <c r="CK64" s="63"/>
    </row>
    <row r="65" spans="2:163" x14ac:dyDescent="0.4">
      <c r="B65" s="67"/>
      <c r="C65" s="97"/>
      <c r="D65" s="98"/>
      <c r="E65" s="99"/>
      <c r="F65" s="98"/>
      <c r="G65" s="137"/>
      <c r="H65" s="137"/>
      <c r="I65" s="137"/>
      <c r="J65" s="137"/>
      <c r="K65"/>
      <c r="L65"/>
      <c r="M65" s="67"/>
      <c r="CH65" s="63"/>
      <c r="CI65" s="63"/>
      <c r="CJ65" s="63"/>
      <c r="CK65" s="63"/>
    </row>
    <row r="66" spans="2:163" x14ac:dyDescent="0.4">
      <c r="B66" s="67"/>
      <c r="C66" s="97"/>
      <c r="D66" s="98"/>
      <c r="E66" s="99"/>
      <c r="F66" s="98"/>
      <c r="G66" s="137"/>
      <c r="H66" s="137"/>
      <c r="I66" s="137"/>
      <c r="J66" s="137"/>
      <c r="K66" s="137"/>
      <c r="L66" s="137"/>
      <c r="M66" s="67"/>
      <c r="CH66" s="63"/>
      <c r="CI66" s="63"/>
      <c r="CJ66" s="63"/>
      <c r="CK66" s="63"/>
    </row>
    <row r="67" spans="2:163" x14ac:dyDescent="0.4">
      <c r="B67" s="67"/>
      <c r="C67" s="137"/>
      <c r="D67" s="137"/>
      <c r="E67" s="142"/>
      <c r="F67" s="137"/>
      <c r="G67" s="137"/>
      <c r="H67" s="137"/>
      <c r="I67" s="137"/>
      <c r="J67" s="137"/>
      <c r="K67" s="137"/>
      <c r="L67" s="137"/>
      <c r="M67" s="67"/>
      <c r="CH67" s="63"/>
      <c r="CI67" s="63"/>
      <c r="CJ67" s="63"/>
      <c r="CK67" s="63"/>
    </row>
    <row r="68" spans="2:163" x14ac:dyDescent="0.4">
      <c r="B68" s="67"/>
      <c r="C68" s="97"/>
      <c r="D68" s="97"/>
      <c r="E68" s="91"/>
      <c r="F68" s="97"/>
      <c r="G68" s="97"/>
      <c r="H68" s="97"/>
      <c r="I68" s="97"/>
      <c r="J68" s="97"/>
      <c r="K68" s="137"/>
      <c r="L68" s="137"/>
      <c r="M68" s="67"/>
      <c r="CH68" s="63"/>
      <c r="CI68" s="63"/>
      <c r="CJ68" s="63"/>
      <c r="CK68" s="63"/>
    </row>
    <row r="69" spans="2:163" x14ac:dyDescent="0.4">
      <c r="B69" s="67"/>
      <c r="C69" s="137"/>
      <c r="D69" s="137"/>
      <c r="E69" s="142"/>
      <c r="F69" s="137"/>
      <c r="G69" s="137"/>
      <c r="H69" s="137"/>
      <c r="I69" s="137"/>
      <c r="J69" s="137"/>
      <c r="K69" s="137"/>
      <c r="L69" s="137"/>
      <c r="M69" s="67"/>
      <c r="CH69" s="63"/>
      <c r="CI69" s="63"/>
      <c r="CJ69" s="63"/>
      <c r="CK69" s="63"/>
    </row>
    <row r="70" spans="2:163" x14ac:dyDescent="0.4">
      <c r="B70" s="67"/>
      <c r="C70" s="137"/>
      <c r="D70" s="137"/>
      <c r="E70" s="142"/>
      <c r="F70" s="137"/>
      <c r="G70" s="137"/>
      <c r="H70" s="137"/>
      <c r="I70" s="137"/>
      <c r="J70" s="137"/>
      <c r="K70" s="97"/>
      <c r="L70" s="97"/>
      <c r="M70" s="67"/>
      <c r="CH70" s="63"/>
      <c r="CI70" s="63"/>
      <c r="CJ70" s="63"/>
      <c r="CK70" s="63"/>
    </row>
    <row r="71" spans="2:163" x14ac:dyDescent="0.4">
      <c r="B71" s="67"/>
      <c r="C71" s="137"/>
      <c r="D71" s="137"/>
      <c r="E71" s="142"/>
      <c r="F71" s="137"/>
      <c r="G71" s="137"/>
      <c r="H71" s="137"/>
      <c r="I71" s="137"/>
      <c r="J71" s="137"/>
      <c r="K71" s="137"/>
      <c r="L71" s="137"/>
      <c r="M71" s="67"/>
      <c r="CH71" s="63"/>
      <c r="CI71" s="63"/>
      <c r="CJ71" s="63"/>
      <c r="CK71" s="63"/>
    </row>
    <row r="72" spans="2:163" x14ac:dyDescent="0.4">
      <c r="B72" s="67"/>
      <c r="C72" s="137"/>
      <c r="D72" s="137"/>
      <c r="E72" s="142"/>
      <c r="F72" s="137"/>
      <c r="G72" s="137"/>
      <c r="H72" s="137"/>
      <c r="I72" s="137"/>
      <c r="J72" s="137"/>
      <c r="K72" s="137"/>
      <c r="L72" s="137"/>
      <c r="M72" s="67"/>
      <c r="CH72" s="63"/>
      <c r="CI72" s="63"/>
      <c r="CJ72" s="63"/>
      <c r="CK72" s="63"/>
    </row>
    <row r="73" spans="2:163" x14ac:dyDescent="0.4">
      <c r="B73" s="67"/>
      <c r="C73" s="137"/>
      <c r="D73" s="137"/>
      <c r="E73" s="142"/>
      <c r="F73" s="137"/>
      <c r="G73" s="137"/>
      <c r="H73" s="137"/>
      <c r="I73" s="137"/>
      <c r="J73" s="137"/>
      <c r="K73" s="137"/>
      <c r="L73" s="137"/>
      <c r="M73" s="67"/>
      <c r="CH73" s="63"/>
      <c r="CI73" s="63"/>
      <c r="CJ73" s="63"/>
      <c r="CK73" s="63"/>
    </row>
    <row r="74" spans="2:163" x14ac:dyDescent="0.4">
      <c r="B74" s="67"/>
      <c r="C74" s="67"/>
      <c r="D74" s="67"/>
      <c r="E74" s="142"/>
      <c r="F74" s="67"/>
      <c r="G74" s="67"/>
      <c r="H74" s="67"/>
      <c r="I74" s="67"/>
      <c r="J74" s="67"/>
      <c r="K74" s="137"/>
      <c r="L74" s="137"/>
      <c r="M74" s="67"/>
      <c r="CH74" s="63"/>
      <c r="CI74" s="63"/>
      <c r="CJ74" s="63"/>
      <c r="CK74" s="63"/>
    </row>
    <row r="75" spans="2:163" x14ac:dyDescent="0.4">
      <c r="B75" s="67"/>
      <c r="C75" s="67"/>
      <c r="D75" s="67"/>
      <c r="E75" s="67"/>
      <c r="F75" s="67"/>
      <c r="G75" s="67"/>
      <c r="H75" s="67"/>
      <c r="I75" s="67"/>
      <c r="J75" s="67"/>
      <c r="K75" s="137"/>
      <c r="L75" s="137"/>
      <c r="M75" s="67"/>
      <c r="CH75" s="63"/>
      <c r="CI75" s="63"/>
      <c r="CJ75" s="63"/>
      <c r="CK75" s="63"/>
    </row>
    <row r="76" spans="2:163" x14ac:dyDescent="0.4">
      <c r="B76" s="67"/>
      <c r="C76" s="67"/>
      <c r="D76" s="67"/>
      <c r="E76" s="67"/>
      <c r="F76" s="67"/>
      <c r="G76" s="67"/>
      <c r="H76" s="67"/>
      <c r="I76" s="67"/>
      <c r="J76" s="67"/>
      <c r="K76" s="67"/>
      <c r="L76" s="67"/>
      <c r="M76" s="67"/>
      <c r="CH76" s="63"/>
      <c r="CI76" s="63"/>
      <c r="CJ76" s="63"/>
      <c r="CK76" s="63"/>
    </row>
    <row r="77" spans="2:163" x14ac:dyDescent="0.4">
      <c r="B77" s="67"/>
      <c r="C77" s="67"/>
      <c r="D77" s="67"/>
      <c r="E77" s="67"/>
      <c r="F77" s="67"/>
      <c r="G77" s="67"/>
      <c r="H77" s="67"/>
      <c r="I77" s="67"/>
      <c r="J77" s="67"/>
      <c r="K77" s="67"/>
      <c r="L77" s="67"/>
      <c r="M77" s="67"/>
      <c r="CH77" s="63"/>
      <c r="CI77" s="63"/>
      <c r="CJ77" s="63"/>
      <c r="CK77" s="63"/>
    </row>
    <row r="78" spans="2:163" x14ac:dyDescent="0.4">
      <c r="B78" s="67"/>
      <c r="C78" s="67"/>
      <c r="D78" s="67"/>
      <c r="E78" s="67"/>
      <c r="F78" s="67"/>
      <c r="G78" s="67"/>
      <c r="H78" s="67"/>
      <c r="I78" s="67"/>
      <c r="J78" s="67"/>
      <c r="K78" s="67"/>
      <c r="L78" s="67"/>
      <c r="M78" s="67"/>
      <c r="CH78" s="63"/>
      <c r="CI78" s="63"/>
      <c r="CJ78" s="63"/>
      <c r="CK78" s="63"/>
    </row>
    <row r="79" spans="2:163" x14ac:dyDescent="0.4">
      <c r="J79" s="67"/>
      <c r="K79" s="67"/>
      <c r="L79" s="67"/>
      <c r="M79" s="67"/>
      <c r="Q79" s="81"/>
      <c r="R79" s="86"/>
      <c r="S79" s="86"/>
      <c r="U79" s="100"/>
      <c r="Y79" s="142"/>
      <c r="Z79" s="142"/>
      <c r="AA79" s="142"/>
      <c r="AB79" s="81"/>
      <c r="AC79" s="85"/>
      <c r="AD79" s="86"/>
      <c r="AE79" s="101"/>
      <c r="AF79" s="86"/>
      <c r="AG79" s="86"/>
      <c r="AH79" s="142"/>
      <c r="AI79" s="81"/>
      <c r="AJ79" s="86"/>
      <c r="AK79" s="86"/>
      <c r="AM79" s="100"/>
      <c r="AO79" s="100"/>
      <c r="AP79" s="142"/>
      <c r="AQ79" s="142"/>
      <c r="AR79" s="81"/>
      <c r="AS79" s="85"/>
      <c r="AT79" s="86"/>
      <c r="AU79" s="101"/>
      <c r="AV79" s="86"/>
      <c r="AW79" s="86"/>
      <c r="AX79" s="142"/>
      <c r="AY79" s="81"/>
      <c r="AZ79" s="86"/>
      <c r="BA79" s="86"/>
      <c r="BC79" s="100"/>
      <c r="BE79" s="100"/>
      <c r="BF79" s="142"/>
      <c r="BG79" s="142"/>
      <c r="BH79" s="81"/>
      <c r="BI79" s="85"/>
      <c r="BJ79" s="86"/>
      <c r="BK79" s="101"/>
      <c r="BL79" s="86"/>
      <c r="BM79" s="86"/>
      <c r="BN79" s="142"/>
      <c r="BO79" s="81"/>
      <c r="BP79" s="86"/>
      <c r="BQ79" s="86"/>
      <c r="CK79" s="63"/>
    </row>
    <row r="80" spans="2:163" x14ac:dyDescent="0.4">
      <c r="J80" s="67"/>
      <c r="K80" s="67"/>
      <c r="L80" s="67"/>
      <c r="M80" s="67"/>
      <c r="AB80" s="137"/>
      <c r="AC80" s="91"/>
      <c r="AD80" s="97"/>
      <c r="AE80" s="97"/>
      <c r="AF80" s="91"/>
      <c r="AG80" s="97"/>
      <c r="AH80" s="97"/>
      <c r="AI80" s="97"/>
      <c r="AJ80" s="97"/>
      <c r="AK80" s="97"/>
      <c r="AR80" s="137"/>
      <c r="AS80" s="91"/>
      <c r="AT80" s="97"/>
      <c r="AU80" s="97"/>
      <c r="AV80" s="91"/>
      <c r="AW80" s="97"/>
      <c r="AX80" s="97"/>
      <c r="AY80" s="97"/>
      <c r="AZ80" s="97"/>
      <c r="BA80" s="97"/>
      <c r="BH80" s="137"/>
      <c r="BI80" s="91"/>
      <c r="BJ80" s="97"/>
      <c r="BK80" s="97"/>
      <c r="BL80" s="91"/>
      <c r="BM80" s="97"/>
      <c r="BN80" s="97"/>
      <c r="BO80" s="97"/>
      <c r="BP80" s="97"/>
      <c r="BQ80" s="97"/>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c r="EO80" s="66"/>
      <c r="EP80" s="66"/>
      <c r="EQ80" s="66"/>
      <c r="ER80" s="66"/>
      <c r="ES80" s="66"/>
      <c r="ET80" s="66"/>
      <c r="EU80" s="66"/>
      <c r="EV80" s="66"/>
      <c r="EW80" s="66"/>
      <c r="EX80" s="66"/>
      <c r="EY80" s="66"/>
      <c r="EZ80" s="66"/>
      <c r="FA80" s="66"/>
      <c r="FB80" s="66"/>
      <c r="FC80" s="66"/>
      <c r="FD80" s="66"/>
      <c r="FE80" s="66"/>
      <c r="FF80" s="66"/>
      <c r="FG80" s="66"/>
    </row>
    <row r="81" spans="1:163" x14ac:dyDescent="0.4">
      <c r="J81" s="67"/>
      <c r="K81" s="67"/>
      <c r="L81" s="67"/>
      <c r="M81" s="67"/>
      <c r="AB81" s="137"/>
      <c r="AC81" s="91"/>
      <c r="AD81" s="97"/>
      <c r="AE81" s="97"/>
      <c r="AF81" s="91"/>
      <c r="AG81" s="97"/>
      <c r="AH81" s="97"/>
      <c r="AI81" s="97"/>
      <c r="AJ81" s="97"/>
      <c r="AK81" s="97"/>
      <c r="AR81" s="137"/>
      <c r="AS81" s="91"/>
      <c r="AT81" s="97"/>
      <c r="AU81" s="97"/>
      <c r="AV81" s="91"/>
      <c r="AW81" s="97"/>
      <c r="AX81" s="97"/>
      <c r="AY81" s="97"/>
      <c r="AZ81" s="97"/>
      <c r="BA81" s="97"/>
      <c r="BH81" s="137"/>
      <c r="BI81" s="91"/>
      <c r="BJ81" s="97"/>
      <c r="BK81" s="97"/>
      <c r="BL81" s="91"/>
      <c r="BM81" s="97"/>
      <c r="BN81" s="97"/>
      <c r="BO81" s="97"/>
      <c r="BP81" s="97"/>
      <c r="BQ81" s="97"/>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66"/>
      <c r="FE81" s="66"/>
      <c r="FF81" s="66"/>
      <c r="FG81" s="66"/>
    </row>
    <row r="82" spans="1:163" x14ac:dyDescent="0.4">
      <c r="J82" s="67"/>
      <c r="K82" s="67"/>
      <c r="L82" s="67"/>
      <c r="M82" s="67"/>
      <c r="AB82" s="137"/>
      <c r="AC82" s="91"/>
      <c r="AD82" s="97"/>
      <c r="AE82" s="97"/>
      <c r="AF82" s="91"/>
      <c r="AG82" s="97"/>
      <c r="AH82" s="97"/>
      <c r="AI82" s="97"/>
      <c r="AJ82" s="97"/>
      <c r="AK82" s="97"/>
      <c r="AR82" s="137"/>
      <c r="AS82" s="91"/>
      <c r="AT82" s="97"/>
      <c r="AU82" s="97"/>
      <c r="AV82" s="91"/>
      <c r="AW82" s="97"/>
      <c r="AX82" s="97"/>
      <c r="AY82" s="97"/>
      <c r="AZ82" s="97"/>
      <c r="BA82" s="97"/>
      <c r="BH82" s="137"/>
      <c r="BI82" s="91"/>
      <c r="BJ82" s="97"/>
      <c r="BK82" s="97"/>
      <c r="BL82" s="91"/>
      <c r="BM82" s="97"/>
      <c r="BN82" s="97"/>
      <c r="BO82" s="97"/>
      <c r="BP82" s="97"/>
      <c r="BQ82" s="97"/>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6"/>
      <c r="FF82" s="66"/>
      <c r="FG82" s="66"/>
    </row>
    <row r="83" spans="1:163" x14ac:dyDescent="0.4">
      <c r="J83" s="67"/>
      <c r="K83" s="67"/>
      <c r="L83" s="67"/>
      <c r="M83" s="67"/>
      <c r="AB83" s="137"/>
      <c r="AC83" s="91"/>
      <c r="AD83" s="137"/>
      <c r="AE83" s="98"/>
      <c r="AF83" s="99"/>
      <c r="AG83" s="98"/>
      <c r="AH83" s="137"/>
      <c r="AI83" s="137"/>
      <c r="AJ83" s="137"/>
      <c r="AK83" s="137"/>
      <c r="AR83" s="137"/>
      <c r="AS83" s="91"/>
      <c r="AT83" s="137"/>
      <c r="AU83" s="98"/>
      <c r="AV83" s="99"/>
      <c r="AW83" s="98"/>
      <c r="AX83" s="137"/>
      <c r="AY83" s="137"/>
      <c r="AZ83" s="137"/>
      <c r="BA83" s="137"/>
      <c r="BH83" s="137"/>
      <c r="BI83" s="91"/>
      <c r="BJ83" s="137"/>
      <c r="BK83" s="98"/>
      <c r="BL83" s="99"/>
      <c r="BM83" s="98"/>
      <c r="BN83" s="137"/>
      <c r="BO83" s="137"/>
      <c r="BP83" s="137"/>
      <c r="BQ83" s="137"/>
    </row>
    <row r="84" spans="1:163" x14ac:dyDescent="0.4">
      <c r="J84" s="67"/>
      <c r="K84" s="67"/>
      <c r="L84" s="67"/>
      <c r="M84" s="67"/>
      <c r="AB84" s="137"/>
      <c r="AC84" s="91"/>
      <c r="AD84" s="97"/>
      <c r="AE84" s="98"/>
      <c r="AF84" s="99"/>
      <c r="AG84" s="98"/>
      <c r="AH84" s="137"/>
      <c r="AI84" s="137"/>
      <c r="AJ84" s="137"/>
      <c r="AK84" s="137"/>
      <c r="AR84" s="137"/>
      <c r="AS84" s="91"/>
      <c r="AT84" s="97"/>
      <c r="AU84" s="98"/>
      <c r="AV84" s="99"/>
      <c r="AW84" s="98"/>
      <c r="AX84" s="137"/>
      <c r="AY84" s="137"/>
      <c r="AZ84" s="137"/>
      <c r="BA84" s="137"/>
      <c r="BH84" s="137"/>
      <c r="BI84" s="91"/>
      <c r="BJ84" s="97"/>
      <c r="BK84" s="98"/>
      <c r="BL84" s="99"/>
      <c r="BM84" s="98"/>
      <c r="BN84" s="137"/>
      <c r="BO84" s="137"/>
      <c r="BP84" s="137"/>
      <c r="BQ84" s="137"/>
    </row>
    <row r="85" spans="1:163" x14ac:dyDescent="0.4">
      <c r="J85" s="67"/>
      <c r="K85" s="67"/>
      <c r="L85" s="67"/>
      <c r="M85" s="67"/>
      <c r="AB85" s="137"/>
      <c r="AC85" s="91"/>
      <c r="AD85" s="97"/>
      <c r="AE85" s="98"/>
      <c r="AF85" s="99"/>
      <c r="AG85" s="98"/>
      <c r="AH85" s="137"/>
      <c r="AI85" s="137"/>
      <c r="AJ85" s="137"/>
      <c r="AK85" s="137"/>
      <c r="AR85" s="137"/>
      <c r="AS85" s="91"/>
      <c r="AT85" s="97"/>
      <c r="AU85" s="98"/>
      <c r="AV85" s="99"/>
      <c r="AW85" s="98"/>
      <c r="AX85" s="137"/>
      <c r="AY85" s="137"/>
      <c r="AZ85" s="137"/>
      <c r="BA85" s="137"/>
      <c r="BH85" s="137"/>
      <c r="BI85" s="91"/>
      <c r="BJ85" s="97"/>
      <c r="BK85" s="98"/>
      <c r="BL85" s="99"/>
      <c r="BM85" s="98"/>
      <c r="BN85" s="137"/>
      <c r="BO85" s="137"/>
      <c r="BP85" s="137"/>
      <c r="BQ85" s="137"/>
    </row>
    <row r="86" spans="1:163" x14ac:dyDescent="0.4">
      <c r="J86" s="67"/>
      <c r="K86" s="67"/>
      <c r="L86" s="67"/>
      <c r="M86" s="67"/>
      <c r="AB86" s="137"/>
      <c r="AC86" s="102"/>
      <c r="AD86" s="97"/>
      <c r="AE86" s="98"/>
      <c r="AF86" s="99"/>
      <c r="AG86" s="98"/>
      <c r="AH86" s="137"/>
      <c r="AI86" s="137"/>
      <c r="AJ86" s="137"/>
      <c r="AK86" s="137"/>
      <c r="AR86" s="137"/>
      <c r="AS86" s="102"/>
      <c r="AT86" s="97"/>
      <c r="AU86" s="98"/>
      <c r="AV86" s="99"/>
      <c r="AW86" s="98"/>
      <c r="AX86" s="137"/>
      <c r="AY86" s="137"/>
      <c r="AZ86" s="137"/>
      <c r="BA86" s="137"/>
      <c r="BH86" s="137"/>
      <c r="BI86" s="102"/>
      <c r="BJ86" s="97"/>
      <c r="BK86" s="98"/>
      <c r="BL86" s="99"/>
      <c r="BM86" s="98"/>
      <c r="BN86" s="137"/>
      <c r="BO86" s="137"/>
      <c r="BP86" s="137"/>
      <c r="BQ86" s="137"/>
    </row>
    <row r="87" spans="1:163" x14ac:dyDescent="0.4">
      <c r="J87" s="67"/>
      <c r="K87" s="67"/>
      <c r="L87" s="67"/>
      <c r="M87" s="67"/>
      <c r="AB87" s="97"/>
      <c r="AC87" s="91"/>
      <c r="AD87" s="97"/>
      <c r="AE87" s="97"/>
      <c r="AF87" s="91"/>
      <c r="AG87" s="97"/>
      <c r="AH87" s="97"/>
      <c r="AI87" s="97"/>
      <c r="AJ87" s="97"/>
      <c r="AK87" s="97"/>
      <c r="AR87" s="97"/>
      <c r="AS87" s="91"/>
      <c r="AT87" s="97"/>
      <c r="AU87" s="97"/>
      <c r="AV87" s="91"/>
      <c r="AW87" s="97"/>
      <c r="AX87" s="97"/>
      <c r="AY87" s="97"/>
      <c r="AZ87" s="97"/>
      <c r="BA87" s="97"/>
      <c r="BH87" s="97"/>
      <c r="BI87" s="91"/>
      <c r="BJ87" s="97"/>
      <c r="BK87" s="97"/>
      <c r="BL87" s="91"/>
      <c r="BM87" s="97"/>
      <c r="BN87" s="97"/>
      <c r="BO87" s="97"/>
      <c r="BP87" s="97"/>
      <c r="BQ87" s="97"/>
    </row>
    <row r="88" spans="1:163" x14ac:dyDescent="0.4">
      <c r="J88" s="67"/>
      <c r="K88" s="67"/>
      <c r="L88" s="67"/>
      <c r="M88" s="67"/>
      <c r="AB88" s="137"/>
      <c r="AC88" s="142"/>
      <c r="AD88" s="137"/>
      <c r="AE88" s="137"/>
      <c r="AF88" s="142"/>
      <c r="AG88" s="137"/>
      <c r="AH88" s="137"/>
      <c r="AI88" s="137"/>
      <c r="AJ88" s="137"/>
      <c r="AK88" s="137"/>
      <c r="AR88" s="137"/>
      <c r="AS88" s="142"/>
      <c r="AT88" s="137"/>
      <c r="AU88" s="137"/>
      <c r="AV88" s="142"/>
      <c r="AW88" s="137"/>
      <c r="AX88" s="137"/>
      <c r="AY88" s="137"/>
      <c r="AZ88" s="137"/>
      <c r="BA88" s="137"/>
      <c r="BH88" s="137"/>
      <c r="BI88" s="142"/>
      <c r="BJ88" s="137"/>
      <c r="BK88" s="137"/>
      <c r="BL88" s="142"/>
      <c r="BM88" s="137"/>
      <c r="BN88" s="137"/>
      <c r="BO88" s="137"/>
      <c r="BP88" s="137"/>
      <c r="BQ88" s="137"/>
    </row>
    <row r="89" spans="1:163" x14ac:dyDescent="0.4">
      <c r="J89" s="67"/>
      <c r="K89" s="67"/>
      <c r="L89" s="67"/>
      <c r="M89" s="67"/>
      <c r="AB89" s="137"/>
      <c r="AC89" s="142"/>
      <c r="AD89" s="137"/>
      <c r="AE89" s="137"/>
      <c r="AF89" s="142"/>
      <c r="AG89" s="137"/>
      <c r="AH89" s="137"/>
      <c r="AI89" s="137"/>
      <c r="AJ89" s="137"/>
      <c r="AK89" s="137"/>
      <c r="AR89" s="137"/>
      <c r="AS89" s="142"/>
      <c r="AT89" s="137"/>
      <c r="AU89" s="137"/>
      <c r="AV89" s="142"/>
      <c r="AW89" s="137"/>
      <c r="AX89" s="137"/>
      <c r="AY89" s="137"/>
      <c r="AZ89" s="137"/>
      <c r="BA89" s="137"/>
      <c r="BH89" s="137"/>
      <c r="BI89" s="142"/>
      <c r="BJ89" s="137"/>
      <c r="BK89" s="137"/>
      <c r="BL89" s="142"/>
      <c r="BM89" s="137"/>
      <c r="BN89" s="137"/>
      <c r="BO89" s="137"/>
      <c r="BP89" s="137"/>
      <c r="BQ89" s="137"/>
    </row>
    <row r="90" spans="1:163" x14ac:dyDescent="0.4">
      <c r="J90" s="67"/>
      <c r="K90" s="67"/>
      <c r="L90" s="67"/>
      <c r="M90" s="67"/>
      <c r="AB90" s="137"/>
      <c r="AC90" s="103"/>
      <c r="AD90" s="137"/>
      <c r="AE90" s="137"/>
      <c r="AF90" s="142"/>
      <c r="AG90" s="137"/>
      <c r="AH90" s="137"/>
      <c r="AI90" s="137"/>
      <c r="AJ90" s="137"/>
      <c r="AK90" s="137"/>
      <c r="AR90" s="137"/>
      <c r="AS90" s="103"/>
      <c r="AT90" s="137"/>
      <c r="AU90" s="137"/>
      <c r="AV90" s="142"/>
      <c r="AW90" s="137"/>
      <c r="AX90" s="137"/>
      <c r="AY90" s="137"/>
      <c r="AZ90" s="137"/>
      <c r="BA90" s="137"/>
      <c r="BH90" s="137"/>
      <c r="BI90" s="103"/>
      <c r="BJ90" s="137"/>
      <c r="BK90" s="137"/>
      <c r="BL90" s="142"/>
      <c r="BM90" s="137"/>
      <c r="BN90" s="137"/>
      <c r="BO90" s="137"/>
      <c r="BP90" s="137"/>
      <c r="BQ90" s="137"/>
    </row>
    <row r="91" spans="1:163" s="66" customFormat="1" x14ac:dyDescent="0.4">
      <c r="A91" s="63"/>
      <c r="B91" s="63"/>
      <c r="C91" s="63"/>
      <c r="D91" s="63"/>
      <c r="E91" s="63"/>
      <c r="F91" s="63"/>
      <c r="G91" s="63"/>
      <c r="H91" s="63"/>
      <c r="I91" s="63"/>
      <c r="J91" s="67"/>
      <c r="K91" s="67"/>
      <c r="L91" s="67"/>
      <c r="M91" s="67"/>
      <c r="N91" s="67"/>
      <c r="O91" s="67"/>
      <c r="P91" s="67"/>
      <c r="Q91" s="67"/>
      <c r="R91" s="67"/>
      <c r="S91" s="67"/>
      <c r="T91" s="67"/>
      <c r="U91" s="67"/>
      <c r="V91" s="67"/>
      <c r="W91" s="67"/>
      <c r="X91" s="67"/>
      <c r="Y91" s="67"/>
      <c r="Z91" s="67"/>
      <c r="AA91" s="67"/>
      <c r="AB91" s="137"/>
      <c r="AC91" s="81"/>
      <c r="AD91" s="137"/>
      <c r="AE91" s="137"/>
      <c r="AF91" s="142"/>
      <c r="AG91" s="137"/>
      <c r="AH91" s="137"/>
      <c r="AI91" s="137"/>
      <c r="AJ91" s="137"/>
      <c r="AK91" s="137"/>
      <c r="AL91" s="67"/>
      <c r="AM91" s="67"/>
      <c r="AN91" s="67"/>
      <c r="AO91" s="67"/>
      <c r="AP91" s="67"/>
      <c r="AQ91" s="67"/>
      <c r="AR91" s="137"/>
      <c r="AS91" s="81"/>
      <c r="AT91" s="137"/>
      <c r="AU91" s="137"/>
      <c r="AV91" s="142"/>
      <c r="AW91" s="137"/>
      <c r="AX91" s="137"/>
      <c r="AY91" s="137"/>
      <c r="AZ91" s="137"/>
      <c r="BA91" s="137"/>
      <c r="BB91" s="67"/>
      <c r="BC91" s="67"/>
      <c r="BD91" s="67"/>
      <c r="BE91" s="67"/>
      <c r="BF91" s="67"/>
      <c r="BG91" s="67"/>
      <c r="BH91" s="137"/>
      <c r="BI91" s="81"/>
      <c r="BJ91" s="137"/>
      <c r="BK91" s="137"/>
      <c r="BL91" s="142"/>
      <c r="BM91" s="137"/>
      <c r="BN91" s="137"/>
      <c r="BO91" s="137"/>
      <c r="BP91" s="137"/>
      <c r="BQ91" s="137"/>
      <c r="BR91" s="67"/>
      <c r="BS91" s="67"/>
      <c r="BT91" s="67"/>
      <c r="BU91" s="67"/>
      <c r="BV91" s="67"/>
      <c r="BW91" s="67"/>
      <c r="BX91" s="67"/>
      <c r="BY91" s="67"/>
      <c r="BZ91" s="67"/>
      <c r="CA91" s="67"/>
      <c r="CB91" s="67"/>
      <c r="CC91" s="67"/>
      <c r="CD91" s="67"/>
      <c r="CE91" s="67"/>
      <c r="CF91" s="67"/>
      <c r="CG91" s="67"/>
      <c r="CH91" s="67"/>
      <c r="CI91" s="67"/>
      <c r="CJ91" s="67"/>
      <c r="CK91" s="67"/>
    </row>
    <row r="92" spans="1:163" s="66" customFormat="1" x14ac:dyDescent="0.4">
      <c r="A92" s="63"/>
      <c r="B92" s="63"/>
      <c r="C92" s="63"/>
      <c r="D92" s="63"/>
      <c r="E92" s="63"/>
      <c r="F92" s="63"/>
      <c r="G92" s="63"/>
      <c r="H92" s="63"/>
      <c r="I92" s="63"/>
      <c r="J92" s="67"/>
      <c r="K92" s="67"/>
      <c r="L92" s="67"/>
      <c r="M92" s="67"/>
      <c r="N92" s="67"/>
      <c r="O92" s="67"/>
      <c r="P92" s="67"/>
      <c r="Q92" s="67"/>
      <c r="R92" s="67"/>
      <c r="S92" s="67"/>
      <c r="T92" s="67"/>
      <c r="U92" s="67"/>
      <c r="V92" s="67"/>
      <c r="W92" s="67"/>
      <c r="X92" s="67"/>
      <c r="Y92" s="67"/>
      <c r="Z92" s="67"/>
      <c r="AA92" s="67"/>
      <c r="AB92" s="137"/>
      <c r="AC92" s="81"/>
      <c r="AD92" s="137"/>
      <c r="AE92" s="137"/>
      <c r="AF92" s="142"/>
      <c r="AG92" s="137"/>
      <c r="AH92" s="137"/>
      <c r="AI92" s="137"/>
      <c r="AJ92" s="137"/>
      <c r="AK92" s="137"/>
      <c r="AL92" s="67"/>
      <c r="AM92" s="67"/>
      <c r="AN92" s="67"/>
      <c r="AO92" s="67"/>
      <c r="AP92" s="67"/>
      <c r="AQ92" s="67"/>
      <c r="AR92" s="137"/>
      <c r="AS92" s="81"/>
      <c r="AT92" s="137"/>
      <c r="AU92" s="137"/>
      <c r="AV92" s="142"/>
      <c r="AW92" s="137"/>
      <c r="AX92" s="137"/>
      <c r="AY92" s="137"/>
      <c r="AZ92" s="137"/>
      <c r="BA92" s="137"/>
      <c r="BB92" s="67"/>
      <c r="BC92" s="67"/>
      <c r="BD92" s="67"/>
      <c r="BE92" s="67"/>
      <c r="BF92" s="67"/>
      <c r="BG92" s="67"/>
      <c r="BH92" s="137"/>
      <c r="BI92" s="81"/>
      <c r="BJ92" s="137"/>
      <c r="BK92" s="137"/>
      <c r="BL92" s="142"/>
      <c r="BM92" s="137"/>
      <c r="BN92" s="137"/>
      <c r="BO92" s="137"/>
      <c r="BP92" s="137"/>
      <c r="BQ92" s="137"/>
      <c r="BR92" s="67"/>
      <c r="BS92" s="67"/>
      <c r="BT92" s="67"/>
      <c r="BU92" s="67"/>
      <c r="BV92" s="67"/>
      <c r="BW92" s="67"/>
      <c r="BX92" s="67"/>
      <c r="BY92" s="67"/>
      <c r="BZ92" s="67"/>
      <c r="CA92" s="67"/>
      <c r="CB92" s="67"/>
      <c r="CC92" s="67"/>
      <c r="CD92" s="67"/>
      <c r="CE92" s="67"/>
      <c r="CF92" s="67"/>
      <c r="CG92" s="67"/>
      <c r="CH92" s="67"/>
      <c r="CI92" s="67"/>
      <c r="CJ92" s="67"/>
      <c r="CK92" s="67"/>
    </row>
    <row r="93" spans="1:163" s="66" customFormat="1" x14ac:dyDescent="0.4">
      <c r="A93" s="63"/>
      <c r="B93" s="63"/>
      <c r="C93" s="63"/>
      <c r="D93" s="63"/>
      <c r="E93" s="63"/>
      <c r="F93" s="63"/>
      <c r="G93" s="63"/>
      <c r="H93" s="63"/>
      <c r="I93" s="63"/>
      <c r="J93" s="67"/>
      <c r="K93" s="67"/>
      <c r="L93" s="67"/>
      <c r="M93" s="67"/>
      <c r="N93" s="67"/>
      <c r="O93" s="67"/>
      <c r="P93" s="67"/>
      <c r="Q93" s="67"/>
      <c r="R93" s="67"/>
      <c r="S93" s="67"/>
      <c r="T93" s="67"/>
      <c r="U93" s="67"/>
      <c r="V93" s="67"/>
      <c r="W93" s="67"/>
      <c r="X93" s="67"/>
      <c r="Y93" s="67"/>
      <c r="Z93" s="67"/>
      <c r="AA93" s="67"/>
      <c r="AB93" s="67"/>
      <c r="AC93" s="67"/>
      <c r="AD93" s="67"/>
      <c r="AE93" s="67"/>
      <c r="AF93" s="142"/>
      <c r="AG93" s="67"/>
      <c r="AH93" s="67"/>
      <c r="AI93" s="67"/>
      <c r="AJ93" s="67"/>
      <c r="AK93" s="67"/>
      <c r="AL93" s="67"/>
      <c r="AM93" s="67"/>
      <c r="AN93" s="67"/>
      <c r="AO93" s="67"/>
      <c r="AP93" s="67"/>
      <c r="AQ93" s="67"/>
      <c r="AR93" s="67"/>
      <c r="AS93" s="67"/>
      <c r="AT93" s="67"/>
      <c r="AU93" s="67"/>
      <c r="AV93" s="142"/>
      <c r="AW93" s="67"/>
      <c r="AX93" s="67"/>
      <c r="AY93" s="67"/>
      <c r="AZ93" s="67"/>
      <c r="BA93" s="67"/>
      <c r="BB93" s="67"/>
      <c r="BC93" s="67"/>
      <c r="BD93" s="67"/>
      <c r="BE93" s="67"/>
      <c r="BF93" s="67"/>
      <c r="BG93" s="67"/>
      <c r="BH93" s="67"/>
      <c r="BI93" s="67"/>
      <c r="BJ93" s="67"/>
      <c r="BK93" s="67"/>
      <c r="BL93" s="142"/>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67"/>
    </row>
    <row r="94" spans="1:163" s="66" customFormat="1" x14ac:dyDescent="0.4">
      <c r="A94" s="63"/>
      <c r="B94" s="63"/>
      <c r="C94" s="63"/>
      <c r="D94" s="63"/>
      <c r="E94" s="63"/>
      <c r="F94" s="63"/>
      <c r="G94" s="63"/>
      <c r="H94" s="63"/>
      <c r="I94" s="63"/>
      <c r="J94" s="67"/>
      <c r="K94" s="67"/>
      <c r="L94" s="67"/>
      <c r="M94" s="67"/>
      <c r="N94" s="67"/>
      <c r="O94" s="67"/>
      <c r="P94" s="67"/>
      <c r="Q94" s="67"/>
      <c r="R94" s="67"/>
      <c r="S94" s="67"/>
      <c r="T94" s="67"/>
      <c r="U94" s="67"/>
      <c r="V94" s="67"/>
      <c r="W94" s="67"/>
      <c r="X94" s="67"/>
      <c r="Y94" s="67"/>
      <c r="Z94" s="67"/>
      <c r="AA94" s="67"/>
      <c r="AB94" s="67"/>
      <c r="AC94" s="67"/>
      <c r="AD94" s="67"/>
      <c r="AE94" s="67"/>
      <c r="AF94" s="142"/>
      <c r="AG94" s="67"/>
      <c r="AH94" s="67"/>
      <c r="AI94" s="67"/>
      <c r="AJ94" s="67"/>
      <c r="AK94" s="67"/>
      <c r="AL94" s="67"/>
      <c r="AM94" s="67"/>
      <c r="AN94" s="67"/>
      <c r="AO94" s="67"/>
      <c r="AP94" s="67"/>
      <c r="AQ94" s="67"/>
      <c r="AR94" s="67"/>
      <c r="AS94" s="67"/>
      <c r="AT94" s="67"/>
      <c r="AU94" s="67"/>
      <c r="AV94" s="142"/>
      <c r="AW94" s="67"/>
      <c r="AX94" s="67"/>
      <c r="AY94" s="67"/>
      <c r="AZ94" s="67"/>
      <c r="BA94" s="67"/>
      <c r="BB94" s="67"/>
      <c r="BC94" s="67"/>
      <c r="BD94" s="67"/>
      <c r="BE94" s="67"/>
      <c r="BF94" s="67"/>
      <c r="BG94" s="67"/>
      <c r="BH94" s="67"/>
      <c r="BI94" s="67"/>
      <c r="BJ94" s="67"/>
      <c r="BK94" s="67"/>
      <c r="BL94" s="142"/>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row>
    <row r="95" spans="1:163" x14ac:dyDescent="0.4">
      <c r="J95" s="67"/>
      <c r="K95" s="67"/>
      <c r="L95" s="67"/>
      <c r="M95" s="67"/>
      <c r="AF95" s="142"/>
      <c r="AV95" s="142"/>
      <c r="BL95" s="142"/>
    </row>
    <row r="96" spans="1:163" x14ac:dyDescent="0.4">
      <c r="J96" s="67"/>
      <c r="K96" s="67"/>
      <c r="L96" s="67"/>
      <c r="M96" s="67"/>
      <c r="AF96" s="142"/>
      <c r="AV96" s="142"/>
      <c r="BL96" s="142"/>
    </row>
    <row r="97" spans="10:64" x14ac:dyDescent="0.4">
      <c r="J97" s="67"/>
      <c r="K97" s="67"/>
      <c r="L97" s="67"/>
      <c r="M97" s="67"/>
      <c r="AF97" s="142"/>
      <c r="AV97" s="142"/>
      <c r="BL97" s="142"/>
    </row>
    <row r="98" spans="10:64" x14ac:dyDescent="0.4">
      <c r="J98" s="67"/>
      <c r="K98" s="67"/>
      <c r="L98" s="67"/>
      <c r="M98" s="67"/>
      <c r="AF98" s="142"/>
      <c r="AV98" s="142"/>
      <c r="BL98" s="142"/>
    </row>
    <row r="99" spans="10:64" x14ac:dyDescent="0.4">
      <c r="J99" s="67"/>
      <c r="K99" s="67"/>
      <c r="L99" s="67"/>
      <c r="M99" s="67"/>
      <c r="AF99" s="142"/>
      <c r="AV99" s="142"/>
      <c r="BL99" s="142"/>
    </row>
    <row r="100" spans="10:64" x14ac:dyDescent="0.4">
      <c r="J100" s="67"/>
      <c r="K100" s="67"/>
      <c r="L100" s="67"/>
      <c r="M100" s="67"/>
      <c r="AF100" s="142"/>
      <c r="AV100" s="142"/>
      <c r="BL100" s="142"/>
    </row>
    <row r="101" spans="10:64" x14ac:dyDescent="0.4">
      <c r="J101" s="67"/>
      <c r="K101" s="67"/>
      <c r="L101" s="67"/>
      <c r="M101" s="67"/>
      <c r="AF101" s="142"/>
      <c r="AV101" s="142"/>
      <c r="BL101" s="142"/>
    </row>
    <row r="102" spans="10:64" x14ac:dyDescent="0.4">
      <c r="K102" s="67"/>
      <c r="L102" s="67"/>
      <c r="AF102" s="142"/>
      <c r="AV102" s="142"/>
      <c r="BL102" s="142"/>
    </row>
    <row r="103" spans="10:64" x14ac:dyDescent="0.4">
      <c r="K103" s="67"/>
      <c r="L103" s="67"/>
      <c r="AF103" s="142"/>
      <c r="AV103" s="142"/>
      <c r="BL103" s="142"/>
    </row>
    <row r="104" spans="10:64" x14ac:dyDescent="0.4">
      <c r="AF104" s="142"/>
      <c r="AV104" s="142"/>
      <c r="BL104" s="142"/>
    </row>
    <row r="105" spans="10:64" x14ac:dyDescent="0.4">
      <c r="AF105" s="142"/>
      <c r="AV105" s="142"/>
      <c r="BL105" s="142"/>
    </row>
    <row r="106" spans="10:64" x14ac:dyDescent="0.4">
      <c r="AF106" s="142"/>
      <c r="AV106" s="142"/>
      <c r="BL106" s="142"/>
    </row>
    <row r="107" spans="10:64" x14ac:dyDescent="0.4">
      <c r="AF107" s="142"/>
      <c r="AV107" s="142"/>
      <c r="BL107" s="142"/>
    </row>
    <row r="108" spans="10:64" x14ac:dyDescent="0.4">
      <c r="AF108" s="142"/>
      <c r="AV108" s="142"/>
      <c r="BL108" s="142"/>
    </row>
    <row r="109" spans="10:64" x14ac:dyDescent="0.4">
      <c r="AF109" s="142"/>
      <c r="AV109" s="142"/>
      <c r="BL109" s="142"/>
    </row>
    <row r="110" spans="10:64" x14ac:dyDescent="0.4">
      <c r="AF110" s="142"/>
      <c r="AV110" s="142"/>
      <c r="BL110" s="142"/>
    </row>
    <row r="111" spans="10:64" x14ac:dyDescent="0.4">
      <c r="AF111" s="142"/>
      <c r="AV111" s="142"/>
      <c r="BL111" s="142"/>
    </row>
    <row r="112" spans="10:64" x14ac:dyDescent="0.4">
      <c r="AF112" s="142"/>
      <c r="AV112" s="142"/>
      <c r="BL112" s="142"/>
    </row>
  </sheetData>
  <sheetProtection selectLockedCells="1" selectUnlockedCells="1"/>
  <mergeCells count="45">
    <mergeCell ref="O7:P7"/>
    <mergeCell ref="AB7:AC7"/>
    <mergeCell ref="O8:P8"/>
    <mergeCell ref="AB8:AC8"/>
    <mergeCell ref="O9:P9"/>
    <mergeCell ref="AB9:AC9"/>
    <mergeCell ref="AH5:AI5"/>
    <mergeCell ref="I6:J6"/>
    <mergeCell ref="O6:P6"/>
    <mergeCell ref="R6:T6"/>
    <mergeCell ref="U6:V6"/>
    <mergeCell ref="AB6:AC6"/>
    <mergeCell ref="AE6:AG6"/>
    <mergeCell ref="AH6:AI6"/>
    <mergeCell ref="O5:P5"/>
    <mergeCell ref="R5:T5"/>
    <mergeCell ref="U5:V5"/>
    <mergeCell ref="AB5:AC5"/>
    <mergeCell ref="AE5:AG5"/>
    <mergeCell ref="I5:J5"/>
    <mergeCell ref="AH3:AI3"/>
    <mergeCell ref="I4:J4"/>
    <mergeCell ref="O4:P4"/>
    <mergeCell ref="R4:T4"/>
    <mergeCell ref="U4:V4"/>
    <mergeCell ref="AB4:AC4"/>
    <mergeCell ref="AE4:AG4"/>
    <mergeCell ref="AH4:AI4"/>
    <mergeCell ref="O3:P3"/>
    <mergeCell ref="R3:T3"/>
    <mergeCell ref="U3:V3"/>
    <mergeCell ref="AB3:AC3"/>
    <mergeCell ref="AE3:AG3"/>
    <mergeCell ref="C3:D3"/>
    <mergeCell ref="F3:H3"/>
    <mergeCell ref="C4:D4"/>
    <mergeCell ref="F4:H4"/>
    <mergeCell ref="I3:J3"/>
    <mergeCell ref="F5:H5"/>
    <mergeCell ref="C9:D9"/>
    <mergeCell ref="C5:D5"/>
    <mergeCell ref="F6:H6"/>
    <mergeCell ref="C6:D6"/>
    <mergeCell ref="C7:D7"/>
    <mergeCell ref="C8:D8"/>
  </mergeCells>
  <pageMargins left="0.7" right="0.7" top="0.75" bottom="0.75" header="0.3" footer="0.3"/>
  <pageSetup scale="63" orientation="landscape" r:id="rId1"/>
  <headerFooter>
    <oddHeader>&amp;C&amp;G</oddHeader>
    <oddFooter xml:space="preserve">&amp;RSunDx INTWKSHT20191021
</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F0580-1EEA-4964-851D-7B51B897757A}">
  <sheetPr codeName="Sheet5"/>
  <dimension ref="A1:CC74"/>
  <sheetViews>
    <sheetView topLeftCell="A3" zoomScale="80" zoomScaleNormal="80" workbookViewId="0">
      <selection activeCell="C3" sqref="C3:D3"/>
    </sheetView>
  </sheetViews>
  <sheetFormatPr defaultRowHeight="12.7" x14ac:dyDescent="0.4"/>
  <cols>
    <col min="1" max="1" width="11.64453125" bestFit="1" customWidth="1"/>
    <col min="2" max="2" width="12.3515625" bestFit="1" customWidth="1"/>
    <col min="3" max="3" width="10.234375" bestFit="1" customWidth="1"/>
    <col min="4" max="4" width="9.234375" bestFit="1" customWidth="1"/>
    <col min="7" max="7" width="11.64453125" bestFit="1" customWidth="1"/>
    <col min="8" max="8" width="9.64453125" customWidth="1"/>
    <col min="10" max="10" width="10.234375" customWidth="1"/>
    <col min="11" max="11" width="9" bestFit="1" customWidth="1"/>
    <col min="12" max="12" width="12.41015625" customWidth="1"/>
    <col min="13" max="13" width="5.87890625" customWidth="1"/>
    <col min="14" max="14" width="8.87890625" customWidth="1"/>
    <col min="15" max="15" width="8.234375" customWidth="1"/>
    <col min="16" max="16" width="7.52734375" bestFit="1" customWidth="1"/>
    <col min="17" max="17" width="8.1171875" bestFit="1" customWidth="1"/>
    <col min="18" max="19" width="6.234375" bestFit="1" customWidth="1"/>
    <col min="20" max="20" width="7.52734375" bestFit="1" customWidth="1"/>
    <col min="21" max="21" width="6.234375" bestFit="1" customWidth="1"/>
    <col min="22" max="22" width="4.64453125" bestFit="1" customWidth="1"/>
    <col min="27" max="29" width="8.87890625" customWidth="1"/>
    <col min="77" max="78" width="8.87890625" style="111"/>
    <col min="79" max="79" width="6.1171875" style="111" customWidth="1"/>
    <col min="80" max="80" width="9.1171875" style="111" customWidth="1"/>
  </cols>
  <sheetData>
    <row r="1" spans="1:81" ht="13" thickBot="1" x14ac:dyDescent="0.45">
      <c r="A1" s="1" t="s">
        <v>8</v>
      </c>
      <c r="F1" s="1" t="s">
        <v>120</v>
      </c>
    </row>
    <row r="2" spans="1:81" ht="13" thickBot="1" x14ac:dyDescent="0.45">
      <c r="C2" s="49" t="s">
        <v>233</v>
      </c>
      <c r="J2" s="180"/>
      <c r="K2" s="310" t="s">
        <v>137</v>
      </c>
      <c r="L2" s="309"/>
      <c r="M2" s="308" t="s">
        <v>138</v>
      </c>
      <c r="N2" s="309"/>
      <c r="BV2" s="111"/>
      <c r="BW2" s="111"/>
      <c r="BX2" s="111"/>
      <c r="BZ2"/>
      <c r="CA2"/>
      <c r="CB2"/>
    </row>
    <row r="3" spans="1:81" ht="13.35" thickBot="1" x14ac:dyDescent="0.5">
      <c r="A3" s="317" t="s">
        <v>5</v>
      </c>
      <c r="B3" s="312"/>
      <c r="C3" s="318"/>
      <c r="D3" s="319"/>
      <c r="E3" s="28"/>
      <c r="F3" s="320" t="s">
        <v>42</v>
      </c>
      <c r="G3" s="320"/>
      <c r="H3" s="321"/>
      <c r="I3" s="315"/>
      <c r="J3" s="316"/>
      <c r="M3" s="181" t="s">
        <v>170</v>
      </c>
      <c r="N3" s="176" t="s">
        <v>164</v>
      </c>
      <c r="O3" s="114" t="s">
        <v>165</v>
      </c>
      <c r="P3" s="113" t="s">
        <v>164</v>
      </c>
      <c r="Q3" s="114" t="s">
        <v>165</v>
      </c>
      <c r="S3" s="185" t="s">
        <v>171</v>
      </c>
      <c r="T3" s="169" t="s">
        <v>166</v>
      </c>
      <c r="U3" s="186" t="s">
        <v>163</v>
      </c>
      <c r="V3" s="189" t="s">
        <v>169</v>
      </c>
    </row>
    <row r="4" spans="1:81" x14ac:dyDescent="0.4">
      <c r="A4" s="311" t="s">
        <v>37</v>
      </c>
      <c r="B4" s="312"/>
      <c r="C4" s="336"/>
      <c r="D4" s="314"/>
      <c r="E4" s="22"/>
      <c r="F4" s="320" t="s">
        <v>43</v>
      </c>
      <c r="G4" s="320"/>
      <c r="H4" s="321"/>
      <c r="I4" s="332"/>
      <c r="J4" s="327"/>
      <c r="K4" s="42">
        <f>C5</f>
        <v>0</v>
      </c>
      <c r="M4" s="182">
        <v>0.2</v>
      </c>
      <c r="N4" s="177">
        <v>0.8</v>
      </c>
      <c r="O4" s="162">
        <v>0.84199999999999997</v>
      </c>
      <c r="P4" s="162">
        <v>0.8</v>
      </c>
      <c r="Q4" s="163">
        <v>1.282</v>
      </c>
      <c r="S4" s="182">
        <v>0.2</v>
      </c>
      <c r="T4" s="161">
        <v>0.8</v>
      </c>
      <c r="U4" s="187">
        <v>0.84199999999999997</v>
      </c>
      <c r="V4" s="190">
        <v>1</v>
      </c>
      <c r="W4" s="328"/>
      <c r="X4" s="329"/>
      <c r="BY4"/>
      <c r="CC4" s="111"/>
    </row>
    <row r="5" spans="1:81" ht="13" thickBot="1" x14ac:dyDescent="0.45">
      <c r="A5" s="311" t="s">
        <v>31</v>
      </c>
      <c r="B5" s="312"/>
      <c r="C5" s="330"/>
      <c r="D5" s="314"/>
      <c r="E5" s="22"/>
      <c r="F5" s="256" t="s">
        <v>231</v>
      </c>
      <c r="G5" s="253"/>
      <c r="H5" s="254"/>
      <c r="I5" s="323"/>
      <c r="J5" s="324"/>
      <c r="K5" s="265" t="s">
        <v>205</v>
      </c>
      <c r="M5" s="183">
        <v>0.15</v>
      </c>
      <c r="N5" s="178">
        <v>0.85</v>
      </c>
      <c r="O5" s="159">
        <v>1.036</v>
      </c>
      <c r="P5" s="160">
        <v>0.85</v>
      </c>
      <c r="Q5" s="165">
        <v>1.44</v>
      </c>
      <c r="S5" s="183">
        <v>0.15</v>
      </c>
      <c r="T5" s="164">
        <v>0.85</v>
      </c>
      <c r="U5" s="188">
        <v>1.036</v>
      </c>
      <c r="V5" s="191">
        <v>2</v>
      </c>
      <c r="BY5"/>
      <c r="CC5" s="111"/>
    </row>
    <row r="6" spans="1:81" x14ac:dyDescent="0.4">
      <c r="A6" s="311" t="s">
        <v>38</v>
      </c>
      <c r="B6" s="312"/>
      <c r="C6" s="325"/>
      <c r="D6" s="314"/>
      <c r="E6" s="22"/>
      <c r="F6" s="322" t="s">
        <v>232</v>
      </c>
      <c r="G6" s="320"/>
      <c r="H6" s="321"/>
      <c r="I6" s="326"/>
      <c r="J6" s="327"/>
      <c r="K6" s="264">
        <f>C5</f>
        <v>0</v>
      </c>
      <c r="M6" s="183">
        <v>0.1</v>
      </c>
      <c r="N6" s="178">
        <v>0.9</v>
      </c>
      <c r="O6" s="160">
        <v>1.282</v>
      </c>
      <c r="P6" s="160">
        <v>0.9</v>
      </c>
      <c r="Q6" s="165">
        <v>1.645</v>
      </c>
      <c r="S6" s="183">
        <v>0.1</v>
      </c>
      <c r="T6" s="164">
        <v>0.9</v>
      </c>
      <c r="U6" s="165">
        <v>1.282</v>
      </c>
      <c r="BY6"/>
      <c r="CC6" s="111"/>
    </row>
    <row r="7" spans="1:81" x14ac:dyDescent="0.4">
      <c r="A7" s="311" t="s">
        <v>39</v>
      </c>
      <c r="B7" s="312"/>
      <c r="C7" s="313"/>
      <c r="D7" s="314"/>
      <c r="E7" s="22"/>
      <c r="F7" s="320" t="s">
        <v>167</v>
      </c>
      <c r="G7" s="320"/>
      <c r="H7" s="321"/>
      <c r="I7" s="335"/>
      <c r="J7" s="314"/>
      <c r="K7" s="4"/>
      <c r="M7" s="183">
        <v>0.05</v>
      </c>
      <c r="N7" s="178">
        <v>0.95</v>
      </c>
      <c r="O7" s="160">
        <v>1.645</v>
      </c>
      <c r="P7" s="160">
        <v>0.95</v>
      </c>
      <c r="Q7" s="165">
        <v>1.96</v>
      </c>
      <c r="S7" s="183">
        <v>0.05</v>
      </c>
      <c r="T7" s="164">
        <v>0.95</v>
      </c>
      <c r="U7" s="165">
        <v>1.645</v>
      </c>
      <c r="BY7"/>
      <c r="CC7" s="111"/>
    </row>
    <row r="8" spans="1:81" x14ac:dyDescent="0.4">
      <c r="A8" s="311" t="s">
        <v>40</v>
      </c>
      <c r="B8" s="312"/>
      <c r="C8" s="313"/>
      <c r="D8" s="314"/>
      <c r="E8" s="22"/>
      <c r="F8" s="320" t="s">
        <v>168</v>
      </c>
      <c r="G8" s="320"/>
      <c r="H8" s="321"/>
      <c r="I8" s="335"/>
      <c r="J8" s="314"/>
      <c r="M8" s="183">
        <v>2.5000000000000001E-2</v>
      </c>
      <c r="N8" s="178">
        <v>0.97499999999999998</v>
      </c>
      <c r="O8" s="160">
        <v>1.96</v>
      </c>
      <c r="P8" s="160">
        <v>0.97499999999999998</v>
      </c>
      <c r="Q8" s="165">
        <v>2.2400000000000002</v>
      </c>
      <c r="S8" s="183">
        <v>2.5000000000000001E-2</v>
      </c>
      <c r="T8" s="164">
        <v>0.97499999999999998</v>
      </c>
      <c r="U8" s="165">
        <v>1.96</v>
      </c>
      <c r="BY8"/>
      <c r="CC8" s="111"/>
    </row>
    <row r="9" spans="1:81" ht="13" thickBot="1" x14ac:dyDescent="0.45">
      <c r="A9" s="311" t="s">
        <v>30</v>
      </c>
      <c r="B9" s="312"/>
      <c r="C9" s="330"/>
      <c r="D9" s="314"/>
      <c r="E9" s="22"/>
      <c r="F9" s="322" t="s">
        <v>172</v>
      </c>
      <c r="G9" s="320"/>
      <c r="H9" s="321"/>
      <c r="I9" s="333">
        <f>ROUNDUP(IF(AND(I7=0.2,I8=0.2),P12,IF(AND(I7=0.2,I8=0.15),P13,IF(AND(I7=0.2,I8=0.1),P14,IF(AND(I7=0.2,I8=0.05),P15,IF(AND(I7=0.2,I8=0.025),P16,IF(AND(I7=0.2,I8=0.01),P17,IF(AND(I7=0.15,I8=0.2),P18,IF(AND(I7=0.15,I8=0.15),P19,IF(AND(I7=0.15,I8=0.1),P20,IF(AND(I7=0.15,I8=0.05),P21,IF(AND(I7=0.15,I8=0.025),P22,IF(AND(I7=0.15,I8=0.01),P23,IF(AND(I7=0.1,I8=0.2),P24,IF(AND(I7=0.1,I8=0.15),P25,IF(AND(I7=0.1,I8=0.1),P26,IF(AND(I7=0.1,I8=0.05),P27,IF(AND(I7=0.1,I8=0.025),P28,IF(AND(I7=0.1,I8=0.01),P29,IF(AND(I7=0.05,I8=0.2),P30,IF(AND(I7=0.05,I8=0.15),P31,IF(AND(I7=0.05,I8=0.1),P32,IF(AND(I7=0.05,I8=0.05),P33,IF(AND(I7=0.05,I8=0.025),P34,IF(AND(I7=0.05,I8=0.01),P35,IF(AND(I7=0.025,I8=0.2),P36,IF(AND(I7=0.025,I8=0.1),P37,IF(AND(I7=0.025,I8=0.05),P38,IF(AND(I7=0.025,I8=0.025),P39,IF(AND(I7=0.025,I8=0.01),P40,IF(AND(I7=0.01,I8=0.2),P41,IF(AND(I7=0.01,I8=0.2),P42,IF(AND(I7=0.01,I8=0.15),P43,IF(AND(I7=0.01,I8=0.1),P44,IF(AND(I7=0.01,I8=0.05),P45,IF(AND(I7=0.01,I8=0.025),P46,IF(AND(I7=0.01,I8=0.01),P45)))))))))))))))))))))))))))))))))))),0)</f>
        <v>0</v>
      </c>
      <c r="J9" s="334"/>
      <c r="M9" s="184">
        <v>0.01</v>
      </c>
      <c r="N9" s="179">
        <v>0.99</v>
      </c>
      <c r="O9" s="167">
        <v>2.3260000000000001</v>
      </c>
      <c r="P9" s="167">
        <v>0.99</v>
      </c>
      <c r="Q9" s="168">
        <v>2.5760000000000001</v>
      </c>
      <c r="S9" s="184">
        <v>0.01</v>
      </c>
      <c r="T9" s="166">
        <v>0.99</v>
      </c>
      <c r="U9" s="168">
        <v>2.3260000000000001</v>
      </c>
      <c r="BY9"/>
      <c r="CC9" s="111"/>
    </row>
    <row r="10" spans="1:81" x14ac:dyDescent="0.4">
      <c r="A10" s="5"/>
      <c r="B10" s="22"/>
      <c r="C10" s="170"/>
      <c r="D10" s="22"/>
      <c r="E10" s="22"/>
      <c r="F10" s="322" t="s">
        <v>173</v>
      </c>
      <c r="G10" s="320"/>
      <c r="H10" s="321"/>
      <c r="I10" s="337">
        <f>ROUNDUP(IF(AND(I7=0.2,I8=0.2),T12,IF(AND(I7=0.2,I8=0.15),T13,IF(AND(I7=0.2,I8=0.1),T14,IF(AND(I7=0.2,I8=0.05),T15,IF(AND(I7=0.2,I8=0.025),T16,IF(AND(I7=0.2,I8=0.01),T17,IF(AND(I7=0.15,I8=0.2),T18,IF(AND(I7=0.15,I8=0.15),T19,IF(AND(I7=0.15,I8=0.1),T20,IF(AND(I7=0.15,I8=0.05),T21,IF(AND(I7=0.15,I8=0.025),T22,IF(AND(I7=0.15,I8=0.01),T23,IF(AND(I7=0.1,I8=0.2),T24,IF(AND(I7=0.1,I8=0.15),T25,IF(AND(I7=0.1,I8=0.1),T26,IF(AND(I7=0.1,I8=0.05),T27,IF(AND(I7=0.1,I8=0.025),T28,IF(AND(I7=0.1,I8=0.01),T29,IF(AND(I7=0.05,I8=0.2),T30,IF(AND(I7=0.05,I8=0.15),T31,IF(AND(I7=0.05,I8=0.1),T32,IF(AND(I7=0.05,I8=0.05),T33,IF(AND(I7=0.05,I8=0.025),T34,IF(AND(I7=0.05,I8=0.01),T35,IF(AND(I7=0.025,I8=0.2),T36,IF(AND(I7=0.025,I8=0.15),T37,IF(AND(I7=0.025,I8=0.1),T38,IF(AND(I7=0.025,I8=0.05),T39,IF(AND(I7=0.025,I8=0.025),T40,IF(AND(I7=0.025,I8=0.01),T41,IF(AND(I7=0.01,I8=0.2),T42,IF(AND(I7=0.01,I8=0.15),T43,IF(AND(I7=0.01,I8=0.1),T44,IF(AND(I7=0.01,I8=0.05),T45,IF(AND(I7=0.01,I8=0.025),T46,IF(AND(I7=0.01,I8=0.01),T47)))))))))))))))))))))))))))))))))))),0)</f>
        <v>0</v>
      </c>
      <c r="J10" s="334"/>
      <c r="K10" s="1"/>
      <c r="M10" s="22"/>
      <c r="N10" s="192"/>
      <c r="O10" s="192"/>
      <c r="P10" s="192"/>
      <c r="Q10" s="192"/>
      <c r="S10" s="22"/>
      <c r="T10" s="192"/>
      <c r="U10" s="192"/>
      <c r="V10" s="1"/>
      <c r="BY10"/>
      <c r="CB10" s="112"/>
      <c r="CC10" s="112"/>
    </row>
    <row r="11" spans="1:81" s="1" customFormat="1" x14ac:dyDescent="0.4">
      <c r="A11" s="1" t="s">
        <v>175</v>
      </c>
      <c r="B11" s="4"/>
      <c r="C11" s="9"/>
      <c r="D11" s="9"/>
      <c r="E11" s="4"/>
      <c r="F11" s="320" t="s">
        <v>68</v>
      </c>
      <c r="G11" s="320"/>
      <c r="H11" s="321"/>
      <c r="I11" s="331"/>
      <c r="J11" s="316"/>
      <c r="K11"/>
      <c r="M11" s="6" t="s">
        <v>169</v>
      </c>
      <c r="N11" s="6" t="s">
        <v>167</v>
      </c>
      <c r="O11" s="6" t="s">
        <v>168</v>
      </c>
      <c r="P11" s="6" t="s">
        <v>174</v>
      </c>
      <c r="Q11" s="6" t="s">
        <v>169</v>
      </c>
      <c r="R11" s="6" t="s">
        <v>167</v>
      </c>
      <c r="S11" s="6" t="s">
        <v>168</v>
      </c>
      <c r="T11" s="6" t="s">
        <v>174</v>
      </c>
      <c r="V11"/>
      <c r="BW11" s="112"/>
      <c r="BX11" s="112"/>
      <c r="BY11" s="111"/>
      <c r="BZ11" s="111"/>
    </row>
    <row r="12" spans="1:81" x14ac:dyDescent="0.4">
      <c r="A12" s="25" t="s">
        <v>33</v>
      </c>
      <c r="B12" s="24"/>
      <c r="C12" s="16"/>
      <c r="D12" s="17"/>
      <c r="E12" s="10"/>
      <c r="F12" s="2"/>
      <c r="G12" s="25" t="s">
        <v>34</v>
      </c>
      <c r="H12" s="24"/>
      <c r="I12" s="16"/>
      <c r="J12" s="17"/>
      <c r="M12" s="172">
        <v>1</v>
      </c>
      <c r="N12" s="171">
        <v>0.2</v>
      </c>
      <c r="O12" s="171">
        <v>0.2</v>
      </c>
      <c r="P12" s="175" t="e">
        <f>2*(((O4+U4)*($I$4/$I$6))^2)</f>
        <v>#DIV/0!</v>
      </c>
      <c r="Q12" s="172">
        <v>2</v>
      </c>
      <c r="R12" s="171">
        <v>0.2</v>
      </c>
      <c r="S12" s="171">
        <v>0.2</v>
      </c>
      <c r="T12" s="175" t="e">
        <f>2*(((Q4+U4)*($I$4/$I$6))^2)</f>
        <v>#DIV/0!</v>
      </c>
      <c r="BW12" s="111"/>
      <c r="BX12" s="111"/>
      <c r="CA12"/>
      <c r="CB12"/>
    </row>
    <row r="13" spans="1:81" x14ac:dyDescent="0.4">
      <c r="A13" s="26" t="s">
        <v>2</v>
      </c>
      <c r="B13" s="10" t="s">
        <v>7</v>
      </c>
      <c r="C13" s="26" t="s">
        <v>2</v>
      </c>
      <c r="D13" s="14" t="s">
        <v>36</v>
      </c>
      <c r="E13" s="8"/>
      <c r="F13" s="2"/>
      <c r="G13" s="26" t="s">
        <v>2</v>
      </c>
      <c r="H13" s="10" t="s">
        <v>7</v>
      </c>
      <c r="I13" s="26" t="s">
        <v>2</v>
      </c>
      <c r="J13" s="14" t="s">
        <v>36</v>
      </c>
      <c r="M13" s="172">
        <v>1</v>
      </c>
      <c r="N13" s="171">
        <v>0.2</v>
      </c>
      <c r="O13" s="171">
        <v>0.15</v>
      </c>
      <c r="P13" s="175" t="e">
        <f>2*(((O4+U5)*($I$4/$I$6))^2)</f>
        <v>#DIV/0!</v>
      </c>
      <c r="Q13" s="172">
        <v>2</v>
      </c>
      <c r="R13" s="171">
        <v>0.2</v>
      </c>
      <c r="S13" s="171">
        <v>0.15</v>
      </c>
      <c r="T13" s="175" t="e">
        <f>2*(((Q4+U5)*($I$4/$I$6))^2)</f>
        <v>#DIV/0!</v>
      </c>
      <c r="BW13" s="111"/>
      <c r="BX13" s="111"/>
      <c r="CA13"/>
      <c r="CB13"/>
    </row>
    <row r="14" spans="1:81" x14ac:dyDescent="0.4">
      <c r="A14" s="15" t="s">
        <v>9</v>
      </c>
      <c r="B14" s="210"/>
      <c r="C14" s="22" t="s">
        <v>19</v>
      </c>
      <c r="D14" s="210"/>
      <c r="E14" s="8"/>
      <c r="F14" s="2"/>
      <c r="G14" s="15" t="s">
        <v>9</v>
      </c>
      <c r="H14" s="255"/>
      <c r="I14" s="22" t="s">
        <v>19</v>
      </c>
      <c r="J14" s="255"/>
      <c r="M14" s="172">
        <v>1</v>
      </c>
      <c r="N14" s="171">
        <v>0.2</v>
      </c>
      <c r="O14" s="171">
        <v>0.1</v>
      </c>
      <c r="P14" s="175" t="e">
        <f>2*(((O4+U6)*($I$4/$I$6))^2)</f>
        <v>#DIV/0!</v>
      </c>
      <c r="Q14" s="172">
        <v>2</v>
      </c>
      <c r="R14" s="171">
        <v>0.2</v>
      </c>
      <c r="S14" s="171">
        <v>0.1</v>
      </c>
      <c r="T14" s="175" t="e">
        <f>2*(((Q4+U6)*($I$4/$I$6))^2)</f>
        <v>#DIV/0!</v>
      </c>
      <c r="BW14" s="111"/>
      <c r="BX14" s="111"/>
      <c r="CA14"/>
      <c r="CB14"/>
    </row>
    <row r="15" spans="1:81" x14ac:dyDescent="0.4">
      <c r="A15" s="15" t="s">
        <v>10</v>
      </c>
      <c r="B15" s="210"/>
      <c r="C15" s="22" t="s">
        <v>20</v>
      </c>
      <c r="D15" s="210"/>
      <c r="E15" s="8"/>
      <c r="F15" s="2"/>
      <c r="G15" s="15" t="s">
        <v>10</v>
      </c>
      <c r="H15" s="255"/>
      <c r="I15" s="22" t="s">
        <v>20</v>
      </c>
      <c r="J15" s="255"/>
      <c r="M15" s="172">
        <v>1</v>
      </c>
      <c r="N15" s="171">
        <v>0.2</v>
      </c>
      <c r="O15" s="171">
        <v>0.05</v>
      </c>
      <c r="P15" s="175" t="e">
        <f>2*(((O4+U7)*($I$4/$I$6))^2)</f>
        <v>#DIV/0!</v>
      </c>
      <c r="Q15" s="172">
        <v>2</v>
      </c>
      <c r="R15" s="171">
        <v>0.2</v>
      </c>
      <c r="S15" s="171">
        <v>0.05</v>
      </c>
      <c r="T15" s="175" t="e">
        <f>2*(((Q4+U7)*($I$4/$I$6))^2)</f>
        <v>#DIV/0!</v>
      </c>
      <c r="BW15" s="111"/>
      <c r="BX15" s="111"/>
      <c r="CA15"/>
      <c r="CB15"/>
    </row>
    <row r="16" spans="1:81" x14ac:dyDescent="0.4">
      <c r="A16" s="27" t="s">
        <v>11</v>
      </c>
      <c r="B16" s="210"/>
      <c r="C16" s="5" t="s">
        <v>21</v>
      </c>
      <c r="D16" s="210"/>
      <c r="E16" s="8"/>
      <c r="F16" s="2"/>
      <c r="G16" s="27" t="s">
        <v>11</v>
      </c>
      <c r="H16" s="255"/>
      <c r="I16" s="5" t="s">
        <v>21</v>
      </c>
      <c r="J16" s="255"/>
      <c r="M16" s="172">
        <v>1</v>
      </c>
      <c r="N16" s="171">
        <v>0.2</v>
      </c>
      <c r="O16" s="171">
        <v>2.5000000000000001E-2</v>
      </c>
      <c r="P16" s="175" t="e">
        <f>2*(((O4+U8)*($I$4/$I$6))^2)</f>
        <v>#DIV/0!</v>
      </c>
      <c r="Q16" s="172">
        <v>2</v>
      </c>
      <c r="R16" s="171">
        <v>0.2</v>
      </c>
      <c r="S16" s="171">
        <v>2.5000000000000001E-2</v>
      </c>
      <c r="T16" s="175" t="e">
        <f>2*(((Q4+U8)*($I$4/$I$6))^2)</f>
        <v>#DIV/0!</v>
      </c>
      <c r="BW16" s="111"/>
      <c r="BX16" s="111"/>
      <c r="CA16"/>
      <c r="CB16"/>
    </row>
    <row r="17" spans="1:80" x14ac:dyDescent="0.4">
      <c r="A17" s="27" t="s">
        <v>12</v>
      </c>
      <c r="B17" s="210"/>
      <c r="C17" s="5" t="s">
        <v>22</v>
      </c>
      <c r="D17" s="210"/>
      <c r="E17" s="8"/>
      <c r="F17" s="2"/>
      <c r="G17" s="27" t="s">
        <v>12</v>
      </c>
      <c r="H17" s="255"/>
      <c r="I17" s="5" t="s">
        <v>22</v>
      </c>
      <c r="J17" s="255"/>
      <c r="M17" s="172">
        <v>1</v>
      </c>
      <c r="N17" s="171">
        <v>0.2</v>
      </c>
      <c r="O17" s="171">
        <v>0.01</v>
      </c>
      <c r="P17" s="175" t="e">
        <f>2*(((O4+U9)*($I$4/$I$6))^2)</f>
        <v>#DIV/0!</v>
      </c>
      <c r="Q17" s="172">
        <v>2</v>
      </c>
      <c r="R17" s="171">
        <v>0.2</v>
      </c>
      <c r="S17" s="171">
        <v>0.01</v>
      </c>
      <c r="T17" s="175" t="e">
        <f>2*(((Q4+U9)*($I$4/$I$6))^2)</f>
        <v>#DIV/0!</v>
      </c>
      <c r="BW17" s="111"/>
      <c r="BX17" s="111"/>
      <c r="CA17"/>
      <c r="CB17"/>
    </row>
    <row r="18" spans="1:80" x14ac:dyDescent="0.4">
      <c r="A18" s="27" t="s">
        <v>13</v>
      </c>
      <c r="B18" s="210"/>
      <c r="C18" s="5" t="s">
        <v>23</v>
      </c>
      <c r="D18" s="255"/>
      <c r="E18" s="8"/>
      <c r="F18" s="2"/>
      <c r="G18" s="27" t="s">
        <v>13</v>
      </c>
      <c r="H18" s="255"/>
      <c r="I18" s="5" t="s">
        <v>23</v>
      </c>
      <c r="J18" s="255"/>
      <c r="M18" s="172">
        <v>1</v>
      </c>
      <c r="N18" s="171">
        <v>0.15</v>
      </c>
      <c r="O18" s="171">
        <v>0.2</v>
      </c>
      <c r="P18" s="175" t="e">
        <f>2*(((O5+U4)*($I$4/$I$6))^2)</f>
        <v>#DIV/0!</v>
      </c>
      <c r="Q18" s="172">
        <v>2</v>
      </c>
      <c r="R18" s="171">
        <v>0.15</v>
      </c>
      <c r="S18" s="171">
        <v>0.2</v>
      </c>
      <c r="T18" s="175" t="e">
        <f>2*(((Q5+U4)*($I$4/$I$6))^2)</f>
        <v>#DIV/0!</v>
      </c>
      <c r="BW18" s="111"/>
      <c r="BX18" s="111"/>
      <c r="CA18"/>
      <c r="CB18"/>
    </row>
    <row r="19" spans="1:80" x14ac:dyDescent="0.4">
      <c r="A19" s="27" t="s">
        <v>14</v>
      </c>
      <c r="B19" s="255"/>
      <c r="C19" s="5" t="s">
        <v>24</v>
      </c>
      <c r="D19" s="255"/>
      <c r="E19" s="8"/>
      <c r="F19" s="2"/>
      <c r="G19" s="27" t="s">
        <v>14</v>
      </c>
      <c r="H19" s="255"/>
      <c r="I19" s="5" t="s">
        <v>24</v>
      </c>
      <c r="J19" s="255"/>
      <c r="M19" s="172">
        <v>1</v>
      </c>
      <c r="N19" s="171">
        <v>0.15</v>
      </c>
      <c r="O19" s="171">
        <v>0.15</v>
      </c>
      <c r="P19" s="175" t="e">
        <f>2*(((O5+U5)*($I$4/$I$6))^2)</f>
        <v>#DIV/0!</v>
      </c>
      <c r="Q19" s="172">
        <v>2</v>
      </c>
      <c r="R19" s="171">
        <v>0.15</v>
      </c>
      <c r="S19" s="171">
        <v>0.15</v>
      </c>
      <c r="T19" s="175" t="e">
        <f>2*(((Q5+U5)*($I$4/$I$6))^2)</f>
        <v>#DIV/0!</v>
      </c>
      <c r="BW19" s="111"/>
      <c r="BX19" s="111"/>
      <c r="CA19"/>
      <c r="CB19"/>
    </row>
    <row r="20" spans="1:80" x14ac:dyDescent="0.4">
      <c r="A20" s="27" t="s">
        <v>15</v>
      </c>
      <c r="B20" s="255"/>
      <c r="C20" s="5" t="s">
        <v>25</v>
      </c>
      <c r="D20" s="255"/>
      <c r="E20" s="8"/>
      <c r="F20" s="2"/>
      <c r="G20" s="27" t="s">
        <v>15</v>
      </c>
      <c r="H20" s="255"/>
      <c r="I20" s="5" t="s">
        <v>25</v>
      </c>
      <c r="J20" s="255"/>
      <c r="M20" s="172">
        <v>1</v>
      </c>
      <c r="N20" s="171">
        <v>0.15</v>
      </c>
      <c r="O20" s="171">
        <v>0.1</v>
      </c>
      <c r="P20" s="175" t="e">
        <f>2*(((O5+U6)*($I$4/$I$6))^2)</f>
        <v>#DIV/0!</v>
      </c>
      <c r="Q20" s="172">
        <v>2</v>
      </c>
      <c r="R20" s="171">
        <v>0.15</v>
      </c>
      <c r="S20" s="171">
        <v>0.1</v>
      </c>
      <c r="T20" s="175" t="e">
        <f>2*(((Q5+U6)*($I$4/$I$6))^2)</f>
        <v>#DIV/0!</v>
      </c>
      <c r="BW20" s="111"/>
      <c r="BX20" s="111"/>
      <c r="CA20"/>
      <c r="CB20"/>
    </row>
    <row r="21" spans="1:80" x14ac:dyDescent="0.4">
      <c r="A21" s="27" t="s">
        <v>16</v>
      </c>
      <c r="B21" s="255"/>
      <c r="C21" s="5" t="s">
        <v>26</v>
      </c>
      <c r="D21" s="255"/>
      <c r="E21" s="8"/>
      <c r="F21" s="2"/>
      <c r="G21" s="27" t="s">
        <v>16</v>
      </c>
      <c r="H21" s="255"/>
      <c r="I21" s="5" t="s">
        <v>26</v>
      </c>
      <c r="J21" s="255"/>
      <c r="M21" s="172">
        <v>1</v>
      </c>
      <c r="N21" s="171">
        <v>0.15</v>
      </c>
      <c r="O21" s="171">
        <v>0.05</v>
      </c>
      <c r="P21" s="175" t="e">
        <f>2*(((O5+U7)*($I$4/$I$6))^2)</f>
        <v>#DIV/0!</v>
      </c>
      <c r="Q21" s="172">
        <v>2</v>
      </c>
      <c r="R21" s="171">
        <v>0.15</v>
      </c>
      <c r="S21" s="171">
        <v>0.05</v>
      </c>
      <c r="T21" s="175" t="e">
        <f>2*(((Q5+U7)*($I$4/$I$6))^2)</f>
        <v>#DIV/0!</v>
      </c>
      <c r="BW21" s="111"/>
      <c r="BX21" s="111"/>
      <c r="CA21"/>
      <c r="CB21"/>
    </row>
    <row r="22" spans="1:80" x14ac:dyDescent="0.4">
      <c r="A22" s="27" t="s">
        <v>17</v>
      </c>
      <c r="B22" s="255"/>
      <c r="C22" s="5" t="s">
        <v>27</v>
      </c>
      <c r="D22" s="255"/>
      <c r="E22" s="8"/>
      <c r="F22" s="2"/>
      <c r="G22" s="27" t="s">
        <v>17</v>
      </c>
      <c r="H22" s="255"/>
      <c r="I22" s="5" t="s">
        <v>27</v>
      </c>
      <c r="J22" s="255"/>
      <c r="M22" s="172">
        <v>1</v>
      </c>
      <c r="N22" s="171">
        <v>0.15</v>
      </c>
      <c r="O22" s="171">
        <v>2.5000000000000001E-2</v>
      </c>
      <c r="P22" s="175" t="e">
        <f>2*(((O5+U8)*($I$4/$I$6))^2)</f>
        <v>#DIV/0!</v>
      </c>
      <c r="Q22" s="172">
        <v>2</v>
      </c>
      <c r="R22" s="171">
        <v>0.15</v>
      </c>
      <c r="S22" s="171">
        <v>2.5000000000000001E-2</v>
      </c>
      <c r="T22" s="175" t="e">
        <f>2*(((Q5+U8)*($I$4/$I$6))^2)</f>
        <v>#DIV/0!</v>
      </c>
      <c r="BW22" s="111"/>
      <c r="BX22" s="111"/>
      <c r="CA22"/>
      <c r="CB22"/>
    </row>
    <row r="23" spans="1:80" x14ac:dyDescent="0.4">
      <c r="A23" s="27" t="s">
        <v>18</v>
      </c>
      <c r="B23" s="255"/>
      <c r="C23" s="5" t="s">
        <v>28</v>
      </c>
      <c r="D23" s="255"/>
      <c r="E23" s="8"/>
      <c r="F23" s="2"/>
      <c r="G23" s="27" t="s">
        <v>18</v>
      </c>
      <c r="H23" s="255"/>
      <c r="I23" s="5" t="s">
        <v>28</v>
      </c>
      <c r="J23" s="255"/>
      <c r="M23" s="172">
        <v>1</v>
      </c>
      <c r="N23" s="171">
        <v>0.15</v>
      </c>
      <c r="O23" s="171">
        <v>0.01</v>
      </c>
      <c r="P23" s="175" t="e">
        <f>2*(((O5+U9)*($I$4/$I$6))^2)</f>
        <v>#DIV/0!</v>
      </c>
      <c r="Q23" s="172">
        <v>2</v>
      </c>
      <c r="R23" s="171">
        <v>0.15</v>
      </c>
      <c r="S23" s="171">
        <v>0.01</v>
      </c>
      <c r="T23" s="175" t="e">
        <f>2*(((Q5+U9)*($I$4/$I$6))^2)</f>
        <v>#DIV/0!</v>
      </c>
      <c r="BW23" s="111"/>
      <c r="BX23" s="111"/>
      <c r="CA23"/>
      <c r="CB23"/>
    </row>
    <row r="24" spans="1:80" x14ac:dyDescent="0.4">
      <c r="A24" s="27" t="s">
        <v>44</v>
      </c>
      <c r="B24" s="255"/>
      <c r="C24" s="5" t="s">
        <v>54</v>
      </c>
      <c r="D24" s="255"/>
      <c r="E24" s="8"/>
      <c r="F24" s="2"/>
      <c r="G24" s="27" t="s">
        <v>44</v>
      </c>
      <c r="H24" s="255"/>
      <c r="I24" s="5" t="s">
        <v>54</v>
      </c>
      <c r="J24" s="255"/>
      <c r="M24" s="172">
        <v>1</v>
      </c>
      <c r="N24" s="173">
        <v>0.1</v>
      </c>
      <c r="O24" s="171">
        <v>0.2</v>
      </c>
      <c r="P24" s="175" t="e">
        <f>2*(((O6+U4)*($I$4/$I$6))^2)</f>
        <v>#DIV/0!</v>
      </c>
      <c r="Q24" s="172">
        <v>2</v>
      </c>
      <c r="R24" s="173">
        <v>0.1</v>
      </c>
      <c r="S24" s="171">
        <v>0.2</v>
      </c>
      <c r="T24" s="175" t="e">
        <f>2*(((Q6+U4)*($I$4/$I$6))^2)</f>
        <v>#DIV/0!</v>
      </c>
      <c r="BW24" s="111"/>
      <c r="BX24" s="111"/>
      <c r="CA24"/>
      <c r="CB24"/>
    </row>
    <row r="25" spans="1:80" x14ac:dyDescent="0.4">
      <c r="A25" s="27" t="s">
        <v>45</v>
      </c>
      <c r="B25" s="255"/>
      <c r="C25" s="5" t="s">
        <v>55</v>
      </c>
      <c r="D25" s="255"/>
      <c r="E25" s="8"/>
      <c r="F25" s="2"/>
      <c r="G25" s="27" t="s">
        <v>45</v>
      </c>
      <c r="H25" s="255"/>
      <c r="I25" s="5" t="s">
        <v>55</v>
      </c>
      <c r="J25" s="255"/>
      <c r="M25" s="172">
        <v>1</v>
      </c>
      <c r="N25" s="173">
        <v>0.1</v>
      </c>
      <c r="O25" s="171">
        <v>0.15</v>
      </c>
      <c r="P25" s="175" t="e">
        <f>2*(((O6+U5)*($I$4/$I$6))^2)</f>
        <v>#DIV/0!</v>
      </c>
      <c r="Q25" s="172">
        <v>2</v>
      </c>
      <c r="R25" s="173">
        <v>0.1</v>
      </c>
      <c r="S25" s="171">
        <v>0.15</v>
      </c>
      <c r="T25" s="175" t="e">
        <f>2*(((Q6+U5)*($I$4/$I$6))^2)</f>
        <v>#DIV/0!</v>
      </c>
      <c r="BW25" s="111"/>
      <c r="BX25" s="111"/>
      <c r="CA25"/>
      <c r="CB25"/>
    </row>
    <row r="26" spans="1:80" x14ac:dyDescent="0.4">
      <c r="A26" s="27" t="s">
        <v>46</v>
      </c>
      <c r="B26" s="255"/>
      <c r="C26" s="5" t="s">
        <v>56</v>
      </c>
      <c r="D26" s="255"/>
      <c r="E26" s="8"/>
      <c r="F26" s="2"/>
      <c r="G26" s="27" t="s">
        <v>46</v>
      </c>
      <c r="H26" s="255"/>
      <c r="I26" s="5" t="s">
        <v>56</v>
      </c>
      <c r="J26" s="255"/>
      <c r="M26" s="172">
        <v>1</v>
      </c>
      <c r="N26" s="173">
        <v>0.1</v>
      </c>
      <c r="O26" s="171">
        <v>0.1</v>
      </c>
      <c r="P26" s="175" t="e">
        <f>2*(((O6+U6)*($I$4/$I$6))^2)</f>
        <v>#DIV/0!</v>
      </c>
      <c r="Q26" s="172">
        <v>2</v>
      </c>
      <c r="R26" s="173">
        <v>0.1</v>
      </c>
      <c r="S26" s="171">
        <v>0.1</v>
      </c>
      <c r="T26" s="175" t="e">
        <f>2*(((Q6+U6)*($I$4/$I$6))^2)</f>
        <v>#DIV/0!</v>
      </c>
      <c r="BW26" s="111"/>
      <c r="BX26" s="111"/>
      <c r="CA26"/>
      <c r="CB26"/>
    </row>
    <row r="27" spans="1:80" x14ac:dyDescent="0.4">
      <c r="A27" s="27" t="s">
        <v>47</v>
      </c>
      <c r="B27" s="255"/>
      <c r="C27" s="5" t="s">
        <v>57</v>
      </c>
      <c r="D27" s="255"/>
      <c r="E27" s="8"/>
      <c r="F27" s="2"/>
      <c r="G27" s="27" t="s">
        <v>47</v>
      </c>
      <c r="H27" s="255"/>
      <c r="I27" s="5" t="s">
        <v>57</v>
      </c>
      <c r="J27" s="255"/>
      <c r="M27" s="172">
        <v>1</v>
      </c>
      <c r="N27" s="173">
        <v>0.1</v>
      </c>
      <c r="O27" s="171">
        <v>0.05</v>
      </c>
      <c r="P27" s="175" t="e">
        <f>2*(((O6+U7)*($I$4/$I$6))^2)</f>
        <v>#DIV/0!</v>
      </c>
      <c r="Q27" s="172">
        <v>2</v>
      </c>
      <c r="R27" s="173">
        <v>0.1</v>
      </c>
      <c r="S27" s="171">
        <v>0.05</v>
      </c>
      <c r="T27" s="175" t="e">
        <f>2*(((Q6+U7)*($I$4/$I$6))^2)</f>
        <v>#DIV/0!</v>
      </c>
      <c r="BW27" s="111"/>
      <c r="BX27" s="111"/>
      <c r="CA27"/>
      <c r="CB27"/>
    </row>
    <row r="28" spans="1:80" x14ac:dyDescent="0.4">
      <c r="A28" s="27" t="s">
        <v>48</v>
      </c>
      <c r="B28" s="255"/>
      <c r="C28" s="5" t="s">
        <v>58</v>
      </c>
      <c r="D28" s="255"/>
      <c r="E28" s="8"/>
      <c r="F28" s="2"/>
      <c r="G28" s="27" t="s">
        <v>48</v>
      </c>
      <c r="H28" s="255"/>
      <c r="I28" s="5" t="s">
        <v>58</v>
      </c>
      <c r="J28" s="255"/>
      <c r="M28" s="172">
        <v>1</v>
      </c>
      <c r="N28" s="173">
        <v>0.1</v>
      </c>
      <c r="O28" s="171">
        <v>2.5000000000000001E-2</v>
      </c>
      <c r="P28" s="175" t="e">
        <f>2*(((O6+U8)*($I$4/$I$6))^2)</f>
        <v>#DIV/0!</v>
      </c>
      <c r="Q28" s="172">
        <v>2</v>
      </c>
      <c r="R28" s="173">
        <v>0.1</v>
      </c>
      <c r="S28" s="171">
        <v>2.5000000000000001E-2</v>
      </c>
      <c r="T28" s="175" t="e">
        <f>2*(((Q6+U8)*($I$4/$I$6))^2)</f>
        <v>#DIV/0!</v>
      </c>
      <c r="BW28" s="111"/>
      <c r="BX28" s="111"/>
      <c r="CA28"/>
      <c r="CB28"/>
    </row>
    <row r="29" spans="1:80" x14ac:dyDescent="0.4">
      <c r="A29" s="27" t="s">
        <v>49</v>
      </c>
      <c r="B29" s="255"/>
      <c r="C29" s="5" t="s">
        <v>59</v>
      </c>
      <c r="D29" s="255"/>
      <c r="E29" s="8"/>
      <c r="F29" s="2"/>
      <c r="G29" s="27" t="s">
        <v>49</v>
      </c>
      <c r="H29" s="255"/>
      <c r="I29" s="5" t="s">
        <v>59</v>
      </c>
      <c r="J29" s="255"/>
      <c r="M29" s="172">
        <v>1</v>
      </c>
      <c r="N29" s="173">
        <v>0.1</v>
      </c>
      <c r="O29" s="171">
        <v>0.01</v>
      </c>
      <c r="P29" s="175" t="e">
        <f>2*(((O6+U9)*($I$4/$I$6))^2)</f>
        <v>#DIV/0!</v>
      </c>
      <c r="Q29" s="172">
        <v>2</v>
      </c>
      <c r="R29" s="173">
        <v>0.1</v>
      </c>
      <c r="S29" s="171">
        <v>0.01</v>
      </c>
      <c r="T29" s="175" t="e">
        <f>2*(((Q6+U9)*($I$4/$I$6))^2)</f>
        <v>#DIV/0!</v>
      </c>
      <c r="BW29" s="111"/>
      <c r="BX29" s="111"/>
      <c r="CA29"/>
      <c r="CB29"/>
    </row>
    <row r="30" spans="1:80" x14ac:dyDescent="0.4">
      <c r="A30" s="27" t="s">
        <v>50</v>
      </c>
      <c r="B30" s="255"/>
      <c r="C30" s="5" t="s">
        <v>60</v>
      </c>
      <c r="D30" s="255"/>
      <c r="E30" s="8"/>
      <c r="F30" s="2"/>
      <c r="G30" s="27" t="s">
        <v>50</v>
      </c>
      <c r="H30" s="255"/>
      <c r="I30" s="5" t="s">
        <v>60</v>
      </c>
      <c r="J30" s="255"/>
      <c r="M30" s="172">
        <v>1</v>
      </c>
      <c r="N30" s="173">
        <v>0.05</v>
      </c>
      <c r="O30" s="171">
        <v>0.2</v>
      </c>
      <c r="P30" s="175" t="e">
        <f>2*(((O7+U4)*($I$4/$I$6))^2)</f>
        <v>#DIV/0!</v>
      </c>
      <c r="Q30" s="172">
        <v>2</v>
      </c>
      <c r="R30" s="173">
        <v>0.05</v>
      </c>
      <c r="S30" s="171">
        <v>0.2</v>
      </c>
      <c r="T30" s="175" t="e">
        <f>2*(((Q7+U4)*($I$4/$I$6))^2)</f>
        <v>#DIV/0!</v>
      </c>
      <c r="BW30" s="111"/>
      <c r="BX30" s="111"/>
      <c r="CA30"/>
      <c r="CB30"/>
    </row>
    <row r="31" spans="1:80" x14ac:dyDescent="0.4">
      <c r="A31" s="27" t="s">
        <v>51</v>
      </c>
      <c r="B31" s="255"/>
      <c r="C31" s="5" t="s">
        <v>61</v>
      </c>
      <c r="D31" s="255"/>
      <c r="E31" s="8"/>
      <c r="F31" s="2"/>
      <c r="G31" s="27" t="s">
        <v>51</v>
      </c>
      <c r="H31" s="255"/>
      <c r="I31" s="5" t="s">
        <v>61</v>
      </c>
      <c r="J31" s="255"/>
      <c r="M31" s="172">
        <v>1</v>
      </c>
      <c r="N31" s="173">
        <v>0.05</v>
      </c>
      <c r="O31" s="171">
        <v>0.15</v>
      </c>
      <c r="P31" s="175" t="e">
        <f>2*(((O7+U5)*($I$4/$I$6))^2)</f>
        <v>#DIV/0!</v>
      </c>
      <c r="Q31" s="172">
        <v>2</v>
      </c>
      <c r="R31" s="173">
        <v>0.05</v>
      </c>
      <c r="S31" s="171">
        <v>0.15</v>
      </c>
      <c r="T31" s="175" t="e">
        <f>2*(((Q7+U5)*($I$4/$I$6))^2)</f>
        <v>#DIV/0!</v>
      </c>
      <c r="BW31" s="111"/>
      <c r="BX31" s="111"/>
      <c r="CA31"/>
      <c r="CB31"/>
    </row>
    <row r="32" spans="1:80" x14ac:dyDescent="0.4">
      <c r="A32" s="27" t="s">
        <v>52</v>
      </c>
      <c r="B32" s="255"/>
      <c r="C32" s="5" t="s">
        <v>62</v>
      </c>
      <c r="D32" s="255"/>
      <c r="E32" s="8"/>
      <c r="F32" s="2"/>
      <c r="G32" s="27" t="s">
        <v>52</v>
      </c>
      <c r="H32" s="255"/>
      <c r="I32" s="5" t="s">
        <v>62</v>
      </c>
      <c r="J32" s="255"/>
      <c r="L32" s="12"/>
      <c r="M32" s="172">
        <v>1</v>
      </c>
      <c r="N32" s="173">
        <v>0.05</v>
      </c>
      <c r="O32" s="171">
        <v>0.1</v>
      </c>
      <c r="P32" s="175" t="e">
        <f>2*(((O7+U6)*($I$4/$I$6))^2)</f>
        <v>#DIV/0!</v>
      </c>
      <c r="Q32" s="172">
        <v>2</v>
      </c>
      <c r="R32" s="173">
        <v>0.05</v>
      </c>
      <c r="S32" s="171">
        <v>0.1</v>
      </c>
      <c r="T32" s="175" t="e">
        <f>2*(((Q7+U6)*($I$4/$I$6))^2)</f>
        <v>#DIV/0!</v>
      </c>
      <c r="BW32" s="111"/>
      <c r="BX32" s="111"/>
      <c r="CA32"/>
      <c r="CB32"/>
    </row>
    <row r="33" spans="1:80" x14ac:dyDescent="0.4">
      <c r="A33" s="27" t="s">
        <v>53</v>
      </c>
      <c r="B33" s="255"/>
      <c r="C33" s="5" t="s">
        <v>63</v>
      </c>
      <c r="D33" s="255"/>
      <c r="E33" s="2"/>
      <c r="F33" s="18"/>
      <c r="G33" s="27" t="s">
        <v>53</v>
      </c>
      <c r="H33" s="255"/>
      <c r="I33" s="5" t="s">
        <v>63</v>
      </c>
      <c r="J33" s="255"/>
      <c r="L33" s="12"/>
      <c r="M33" s="174">
        <v>1</v>
      </c>
      <c r="N33" s="173">
        <v>0.05</v>
      </c>
      <c r="O33" s="171">
        <v>0.05</v>
      </c>
      <c r="P33" s="175" t="e">
        <f>2*(((O7+U7)*($I$4/$I$6))^2)</f>
        <v>#DIV/0!</v>
      </c>
      <c r="Q33" s="174">
        <v>2</v>
      </c>
      <c r="R33" s="173">
        <v>0.05</v>
      </c>
      <c r="S33" s="171">
        <v>0.05</v>
      </c>
      <c r="T33" s="175" t="e">
        <f>2*(((Q7+U7)*($I$4/$I$6))^2)</f>
        <v>#DIV/0!</v>
      </c>
      <c r="BW33" s="111"/>
      <c r="BX33" s="111"/>
      <c r="CA33"/>
      <c r="CB33"/>
    </row>
    <row r="34" spans="1:80" x14ac:dyDescent="0.4">
      <c r="A34" s="2" t="s">
        <v>6</v>
      </c>
      <c r="B34" s="2">
        <f>COUNT($B$14:$B$33)</f>
        <v>0</v>
      </c>
      <c r="C34" s="2"/>
      <c r="D34" s="2">
        <f>COUNT($D$14:$D$33)</f>
        <v>0</v>
      </c>
      <c r="E34" s="2"/>
      <c r="F34" s="19"/>
      <c r="G34" s="2" t="s">
        <v>6</v>
      </c>
      <c r="H34" s="2">
        <f>COUNT($H$14:$H$33)</f>
        <v>0</v>
      </c>
      <c r="I34" s="2"/>
      <c r="J34" s="2">
        <f>COUNT($J$14:$J$33)</f>
        <v>0</v>
      </c>
      <c r="M34" s="172">
        <v>1</v>
      </c>
      <c r="N34" s="173">
        <v>0.05</v>
      </c>
      <c r="O34" s="171">
        <v>2.5000000000000001E-2</v>
      </c>
      <c r="P34" s="175" t="e">
        <f>2*(((O7+U8)*($I$4/$I$6))^2)</f>
        <v>#DIV/0!</v>
      </c>
      <c r="Q34" s="172">
        <v>2</v>
      </c>
      <c r="R34" s="173">
        <v>0.05</v>
      </c>
      <c r="S34" s="171">
        <v>2.5000000000000001E-2</v>
      </c>
      <c r="T34" s="175" t="e">
        <f>2*(((Q7+U8)*($I$4/$I$6))^2)</f>
        <v>#DIV/0!</v>
      </c>
      <c r="BW34" s="111"/>
      <c r="BX34" s="111"/>
      <c r="CA34"/>
      <c r="CB34"/>
    </row>
    <row r="35" spans="1:80" x14ac:dyDescent="0.4">
      <c r="A35" s="2" t="s">
        <v>1</v>
      </c>
      <c r="B35" s="13" t="e">
        <f>AVERAGE($B$14:$B$33)</f>
        <v>#DIV/0!</v>
      </c>
      <c r="C35" s="2"/>
      <c r="D35" s="13" t="e">
        <f>AVERAGE($D$14:$D$33)</f>
        <v>#DIV/0!</v>
      </c>
      <c r="E35" s="18"/>
      <c r="F35" s="13"/>
      <c r="G35" s="2" t="s">
        <v>1</v>
      </c>
      <c r="H35" s="29" t="e">
        <f>AVERAGE($H$14:$H$33)</f>
        <v>#DIV/0!</v>
      </c>
      <c r="I35" s="2"/>
      <c r="J35" s="2" t="e">
        <f>AVERAGE($J$14:$J$33)</f>
        <v>#DIV/0!</v>
      </c>
      <c r="M35" s="172">
        <v>1</v>
      </c>
      <c r="N35" s="173">
        <v>0.05</v>
      </c>
      <c r="O35" s="171">
        <v>0.01</v>
      </c>
      <c r="P35" s="175" t="e">
        <f>2*(((O7+U9)*($I$4/$I$6))^2)</f>
        <v>#DIV/0!</v>
      </c>
      <c r="Q35" s="172">
        <v>2</v>
      </c>
      <c r="R35" s="173">
        <v>0.05</v>
      </c>
      <c r="S35" s="171">
        <v>0.01</v>
      </c>
      <c r="T35" s="175" t="e">
        <f>2*(((Q7+U9)*($I$4/$I$6))^2)</f>
        <v>#DIV/0!</v>
      </c>
      <c r="BW35" s="111"/>
      <c r="BX35" s="111"/>
      <c r="CA35"/>
      <c r="CB35"/>
    </row>
    <row r="36" spans="1:80" x14ac:dyDescent="0.4">
      <c r="A36" s="2" t="s">
        <v>3</v>
      </c>
      <c r="B36" s="13" t="e">
        <f>STDEV($B$14:$B$33)</f>
        <v>#DIV/0!</v>
      </c>
      <c r="C36" s="18"/>
      <c r="D36" s="13" t="e">
        <f>STDEV($D$14:$D$33)</f>
        <v>#DIV/0!</v>
      </c>
      <c r="E36" s="19"/>
      <c r="F36" s="13"/>
      <c r="G36" s="2" t="s">
        <v>3</v>
      </c>
      <c r="H36" s="29" t="e">
        <f>STDEV($H$14:$H$33)</f>
        <v>#DIV/0!</v>
      </c>
      <c r="I36" s="18"/>
      <c r="J36" s="29" t="e">
        <f>STDEV($J$14:$J$33)</f>
        <v>#DIV/0!</v>
      </c>
      <c r="M36" s="172">
        <v>1</v>
      </c>
      <c r="N36" s="173">
        <v>2.5000000000000001E-2</v>
      </c>
      <c r="O36" s="171">
        <v>0.2</v>
      </c>
      <c r="P36" s="175" t="e">
        <f>2*(((O8+U4)*($I$4/$I$6))^2)</f>
        <v>#DIV/0!</v>
      </c>
      <c r="Q36" s="172">
        <v>2</v>
      </c>
      <c r="R36" s="173">
        <v>2.5000000000000001E-2</v>
      </c>
      <c r="S36" s="171">
        <v>0.2</v>
      </c>
      <c r="T36" s="175" t="e">
        <f>2*(((Q8+U4)*($I$4/$I$6))^2)</f>
        <v>#DIV/0!</v>
      </c>
      <c r="BW36" s="111"/>
      <c r="BX36" s="111"/>
      <c r="CA36"/>
      <c r="CB36"/>
    </row>
    <row r="37" spans="1:80" x14ac:dyDescent="0.4">
      <c r="A37" s="2" t="s">
        <v>0</v>
      </c>
      <c r="B37" s="19" t="e">
        <f>$B$36/$B$35</f>
        <v>#DIV/0!</v>
      </c>
      <c r="C37" s="19"/>
      <c r="D37" s="19" t="e">
        <f>$D$36/$D$35</f>
        <v>#DIV/0!</v>
      </c>
      <c r="E37" s="23"/>
      <c r="G37" s="2" t="s">
        <v>0</v>
      </c>
      <c r="H37" s="19" t="e">
        <f>$H$36/$H$35</f>
        <v>#DIV/0!</v>
      </c>
      <c r="I37" s="19"/>
      <c r="J37" s="19" t="e">
        <f>$J$36/$J$35</f>
        <v>#DIV/0!</v>
      </c>
      <c r="M37" s="172">
        <v>1</v>
      </c>
      <c r="N37" s="173">
        <v>2.5000000000000001E-2</v>
      </c>
      <c r="O37" s="171">
        <v>0.15</v>
      </c>
      <c r="P37" s="175" t="e">
        <f>2*(((O8+U5)*($I$4/$I$6))^2)</f>
        <v>#DIV/0!</v>
      </c>
      <c r="Q37" s="172">
        <v>2</v>
      </c>
      <c r="R37" s="173">
        <v>2.5000000000000001E-2</v>
      </c>
      <c r="S37" s="171">
        <v>0.15</v>
      </c>
      <c r="T37" s="175" t="e">
        <f>2*(((Q8+U5)*($I$4/$I$6))^2)</f>
        <v>#DIV/0!</v>
      </c>
      <c r="BW37" s="111"/>
      <c r="BX37" s="111"/>
      <c r="CA37"/>
      <c r="CB37"/>
    </row>
    <row r="38" spans="1:80" x14ac:dyDescent="0.4">
      <c r="A38" s="156" t="s">
        <v>177</v>
      </c>
      <c r="B38" s="19"/>
      <c r="C38" s="19"/>
      <c r="D38" s="23" t="e">
        <f>_xlfn.T.TEST($B$14:$B$33,$D$14:$D$33,1,2)</f>
        <v>#DIV/0!</v>
      </c>
      <c r="E38" s="23"/>
      <c r="G38" s="156" t="s">
        <v>177</v>
      </c>
      <c r="H38" s="19"/>
      <c r="I38" s="19"/>
      <c r="J38" s="23" t="e">
        <f>_xlfn.T.TEST($H$14:$H$33,$J$14:$J$33,1,2)</f>
        <v>#DIV/0!</v>
      </c>
      <c r="M38" s="172">
        <v>1</v>
      </c>
      <c r="N38" s="173">
        <v>2.5000000000000001E-2</v>
      </c>
      <c r="O38" s="171">
        <v>0.1</v>
      </c>
      <c r="P38" s="175" t="e">
        <f>2*(((O8+U6)*($I$4/$I$6))^2)</f>
        <v>#DIV/0!</v>
      </c>
      <c r="Q38" s="172">
        <v>2</v>
      </c>
      <c r="R38" s="173">
        <v>2.5000000000000001E-2</v>
      </c>
      <c r="S38" s="171">
        <v>0.1</v>
      </c>
      <c r="T38" s="175" t="e">
        <f>2*(((Q8+U6)*($I$4/$I$6))^2)</f>
        <v>#DIV/0!</v>
      </c>
      <c r="BW38" s="111"/>
      <c r="BX38" s="111"/>
      <c r="CA38"/>
      <c r="CB38"/>
    </row>
    <row r="39" spans="1:80" x14ac:dyDescent="0.4">
      <c r="A39" s="156" t="s">
        <v>159</v>
      </c>
      <c r="B39" s="23"/>
      <c r="C39" s="23"/>
      <c r="D39" s="23" t="e">
        <f>_xlfn.T.TEST($B$14:$B$33,$D$14:$D$33,2,2)</f>
        <v>#DIV/0!</v>
      </c>
      <c r="E39" s="23"/>
      <c r="G39" s="156" t="s">
        <v>159</v>
      </c>
      <c r="H39" s="23"/>
      <c r="I39" s="23"/>
      <c r="J39" s="23" t="e">
        <f>_xlfn.T.TEST($H$14:$H$33,$J$14:$J$33,2,2)</f>
        <v>#DIV/0!</v>
      </c>
      <c r="M39" s="172">
        <v>1</v>
      </c>
      <c r="N39" s="173">
        <v>2.5000000000000001E-2</v>
      </c>
      <c r="O39" s="171">
        <v>0.05</v>
      </c>
      <c r="P39" s="175" t="e">
        <f>2*(((O8+U7)*($I$4/$I$6))^2)</f>
        <v>#DIV/0!</v>
      </c>
      <c r="Q39" s="172">
        <v>2</v>
      </c>
      <c r="R39" s="173">
        <v>2.5000000000000001E-2</v>
      </c>
      <c r="S39" s="171">
        <v>0.05</v>
      </c>
      <c r="T39" s="175" t="e">
        <f>2*(((Q8+U7)*($I$4/$I$6))^2)</f>
        <v>#DIV/0!</v>
      </c>
      <c r="BW39" s="111"/>
      <c r="BX39" s="111"/>
      <c r="CA39"/>
      <c r="CB39"/>
    </row>
    <row r="40" spans="1:80" x14ac:dyDescent="0.4">
      <c r="A40" s="6"/>
      <c r="B40" s="23"/>
      <c r="C40" s="23"/>
      <c r="E40" s="23"/>
      <c r="G40" s="3"/>
      <c r="H40" s="13"/>
      <c r="I40" s="13"/>
      <c r="J40" s="13"/>
      <c r="M40" s="172">
        <v>1</v>
      </c>
      <c r="N40" s="173">
        <v>2.5000000000000001E-2</v>
      </c>
      <c r="O40" s="171">
        <v>2.5000000000000001E-2</v>
      </c>
      <c r="P40" s="175" t="e">
        <f>2*(((O8+U8)*($I$4/$I$6))^2)</f>
        <v>#DIV/0!</v>
      </c>
      <c r="Q40" s="172">
        <v>2</v>
      </c>
      <c r="R40" s="173">
        <v>2.5000000000000001E-2</v>
      </c>
      <c r="S40" s="171">
        <v>2.5000000000000001E-2</v>
      </c>
      <c r="T40" s="175" t="e">
        <f>2*(((Q8+U8)*($I$4/$I$6))^2)</f>
        <v>#DIV/0!</v>
      </c>
      <c r="BW40" s="111"/>
      <c r="BX40" s="111"/>
      <c r="CA40"/>
      <c r="CB40"/>
    </row>
    <row r="41" spans="1:80" x14ac:dyDescent="0.4">
      <c r="A41" t="s">
        <v>29</v>
      </c>
      <c r="E41" s="29" t="e">
        <f>$D$35-$B$35</f>
        <v>#DIV/0!</v>
      </c>
      <c r="G41" t="s">
        <v>29</v>
      </c>
      <c r="K41" s="29" t="e">
        <f>$J$35-$H$35</f>
        <v>#DIV/0!</v>
      </c>
      <c r="M41" s="172">
        <v>1</v>
      </c>
      <c r="N41" s="173">
        <v>2.5000000000000001E-2</v>
      </c>
      <c r="O41" s="171">
        <v>0.01</v>
      </c>
      <c r="P41" s="175" t="e">
        <f>2*(((O8+U9)*($I$4/$I$6))^2)</f>
        <v>#DIV/0!</v>
      </c>
      <c r="Q41" s="172">
        <v>2</v>
      </c>
      <c r="R41" s="173">
        <v>2.5000000000000001E-2</v>
      </c>
      <c r="S41" s="171">
        <v>0.01</v>
      </c>
      <c r="T41" s="175" t="e">
        <f>2*(((Q8+U9)*($I$4/$I$6))^2)</f>
        <v>#DIV/0!</v>
      </c>
      <c r="BW41" s="111"/>
      <c r="BX41" s="111"/>
      <c r="CA41"/>
      <c r="CB41"/>
    </row>
    <row r="42" spans="1:80" x14ac:dyDescent="0.4">
      <c r="A42" s="49" t="s">
        <v>129</v>
      </c>
      <c r="E42" s="122" t="e">
        <f>$E$41/$B$35</f>
        <v>#DIV/0!</v>
      </c>
      <c r="G42" s="49" t="s">
        <v>129</v>
      </c>
      <c r="K42" s="122" t="e">
        <f>$K$41/$H$35</f>
        <v>#DIV/0!</v>
      </c>
      <c r="M42" s="172">
        <v>1</v>
      </c>
      <c r="N42" s="173">
        <v>0.01</v>
      </c>
      <c r="O42" s="171">
        <v>0.2</v>
      </c>
      <c r="P42" s="175" t="e">
        <f>2*(((O9+U4)*($I$4/$I$6))^2)</f>
        <v>#DIV/0!</v>
      </c>
      <c r="Q42" s="172">
        <v>2</v>
      </c>
      <c r="R42" s="173">
        <v>0.01</v>
      </c>
      <c r="S42" s="171">
        <v>0.2</v>
      </c>
      <c r="T42" s="175" t="e">
        <f>2*(((Q9+U4)*($I$4/$I$6))^2)</f>
        <v>#DIV/0!</v>
      </c>
      <c r="BW42" s="111"/>
      <c r="BX42" s="111"/>
      <c r="CA42"/>
      <c r="CB42"/>
    </row>
    <row r="43" spans="1:80" x14ac:dyDescent="0.4">
      <c r="A43" s="49" t="s">
        <v>117</v>
      </c>
      <c r="E43" s="18" t="e">
        <f>$E$41+$O$55</f>
        <v>#DIV/0!</v>
      </c>
      <c r="F43" s="1"/>
      <c r="G43" s="49" t="s">
        <v>117</v>
      </c>
      <c r="K43" s="18" t="e">
        <f>$K$41+$O$62</f>
        <v>#DIV/0!</v>
      </c>
      <c r="M43" s="172">
        <v>1</v>
      </c>
      <c r="N43" s="173">
        <v>0.01</v>
      </c>
      <c r="O43" s="171">
        <v>0.15</v>
      </c>
      <c r="P43" s="175" t="e">
        <f>2*(((O9+U5)*($I$4/$I$6))^2)</f>
        <v>#DIV/0!</v>
      </c>
      <c r="Q43" s="172">
        <v>2</v>
      </c>
      <c r="R43" s="173">
        <v>0.01</v>
      </c>
      <c r="S43" s="171">
        <v>0.15</v>
      </c>
      <c r="T43" s="175" t="e">
        <f>2*(((Q9+U5)*($I$4/$I$6))^2)</f>
        <v>#DIV/0!</v>
      </c>
      <c r="V43" s="1"/>
      <c r="BW43" s="111"/>
      <c r="BX43" s="111"/>
      <c r="CA43"/>
      <c r="CB43"/>
    </row>
    <row r="44" spans="1:80" s="1" customFormat="1" x14ac:dyDescent="0.4">
      <c r="A44" s="49" t="s">
        <v>118</v>
      </c>
      <c r="B44"/>
      <c r="C44"/>
      <c r="D44"/>
      <c r="E44" s="18" t="e">
        <f>E41-O55</f>
        <v>#DIV/0!</v>
      </c>
      <c r="G44" s="49" t="s">
        <v>118</v>
      </c>
      <c r="H44"/>
      <c r="I44"/>
      <c r="J44"/>
      <c r="K44" s="18" t="e">
        <f>$K$41-$O$62</f>
        <v>#DIV/0!</v>
      </c>
      <c r="M44" s="172">
        <v>1</v>
      </c>
      <c r="N44" s="173">
        <v>0.01</v>
      </c>
      <c r="O44" s="171">
        <v>0.1</v>
      </c>
      <c r="P44" s="175" t="e">
        <f>2*(((O9+U6)*($I$4/$I$6))^2)</f>
        <v>#DIV/0!</v>
      </c>
      <c r="Q44" s="172">
        <v>2</v>
      </c>
      <c r="R44" s="173">
        <v>0.01</v>
      </c>
      <c r="S44" s="171">
        <v>0.1</v>
      </c>
      <c r="T44" s="175" t="e">
        <f>2*(((Q9+U6)*($I$4/$I$6))^2)</f>
        <v>#DIV/0!</v>
      </c>
      <c r="BW44" s="112"/>
      <c r="BX44" s="112"/>
      <c r="BY44" s="111"/>
      <c r="BZ44" s="111"/>
    </row>
    <row r="45" spans="1:80" s="1" customFormat="1" x14ac:dyDescent="0.4">
      <c r="A45"/>
      <c r="B45"/>
      <c r="C45"/>
      <c r="D45" s="18"/>
      <c r="E45" s="18"/>
      <c r="G45"/>
      <c r="H45"/>
      <c r="I45"/>
      <c r="J45" s="18"/>
      <c r="K45"/>
      <c r="M45" s="172">
        <v>1</v>
      </c>
      <c r="N45" s="173">
        <v>0.01</v>
      </c>
      <c r="O45" s="171">
        <v>0.05</v>
      </c>
      <c r="P45" s="175" t="e">
        <f>2*(((O9+U7)*($I$4/$I$6))^2)</f>
        <v>#DIV/0!</v>
      </c>
      <c r="Q45" s="172">
        <v>2</v>
      </c>
      <c r="R45" s="173">
        <v>0.01</v>
      </c>
      <c r="S45" s="171">
        <v>0.05</v>
      </c>
      <c r="T45" s="175" t="e">
        <f>2*(((Q9+U7)*($I$4/$I$6))^2)</f>
        <v>#DIV/0!</v>
      </c>
      <c r="BW45" s="112"/>
      <c r="BX45" s="112"/>
      <c r="BY45" s="111"/>
      <c r="BZ45" s="111"/>
    </row>
    <row r="46" spans="1:80" s="1" customFormat="1" x14ac:dyDescent="0.4">
      <c r="A46" s="21" t="s">
        <v>64</v>
      </c>
      <c r="D46" s="20"/>
      <c r="E46" s="20"/>
      <c r="M46" s="172">
        <v>1</v>
      </c>
      <c r="N46" s="173">
        <v>0.01</v>
      </c>
      <c r="O46" s="171">
        <v>2.5000000000000001E-2</v>
      </c>
      <c r="P46" s="175" t="e">
        <f>2*(((O9+U8)*($I$4/$I$6))^2)</f>
        <v>#DIV/0!</v>
      </c>
      <c r="Q46" s="172">
        <v>2</v>
      </c>
      <c r="R46" s="173">
        <v>0.01</v>
      </c>
      <c r="S46" s="171">
        <v>2.5000000000000001E-2</v>
      </c>
      <c r="T46" s="175" t="e">
        <f>2*(((Q9+U8)*($I$4/$I$6))^2)</f>
        <v>#DIV/0!</v>
      </c>
      <c r="BW46" s="112"/>
      <c r="BX46" s="112"/>
      <c r="BY46" s="111"/>
      <c r="BZ46" s="111"/>
    </row>
    <row r="47" spans="1:80" s="1" customFormat="1" x14ac:dyDescent="0.4">
      <c r="A47" s="12" t="e">
        <f>IF(D$38&gt;=0.05, "The difference between Test and Control Pools is NOT statistically significant.", "The difference between Test and Control Pools IS statistically significant with a 1-tailed test.")</f>
        <v>#DIV/0!</v>
      </c>
      <c r="D47" s="20"/>
      <c r="E47" s="20"/>
      <c r="M47" s="172">
        <v>1</v>
      </c>
      <c r="N47" s="173">
        <v>0.01</v>
      </c>
      <c r="O47" s="171">
        <v>0.01</v>
      </c>
      <c r="P47" s="175" t="e">
        <f>2*(((O9+U9)*($I$4/$I$6))^2)</f>
        <v>#DIV/0!</v>
      </c>
      <c r="Q47" s="172">
        <v>2</v>
      </c>
      <c r="R47" s="173">
        <v>0.01</v>
      </c>
      <c r="S47" s="171">
        <v>0.01</v>
      </c>
      <c r="T47" s="175" t="e">
        <f>2*(((Q9+U9)*($I$4/$I$6))^2)</f>
        <v>#DIV/0!</v>
      </c>
      <c r="BW47" s="112"/>
      <c r="BX47" s="112"/>
      <c r="BY47" s="111"/>
      <c r="BZ47" s="111"/>
    </row>
    <row r="48" spans="1:80" s="1" customFormat="1" x14ac:dyDescent="0.4">
      <c r="A48" s="12" t="e">
        <f>IF(D$39&gt;=0.05, "The difference between Test and Control Pools is NOT statistically significant.", "The difference between Test and Control Pools IS statistically significant with a 2-tailed test.")</f>
        <v>#DIV/0!</v>
      </c>
      <c r="D48" s="20"/>
      <c r="E48" s="20"/>
      <c r="M48" s="172"/>
      <c r="N48" s="173"/>
      <c r="O48" s="171"/>
      <c r="P48" s="175"/>
      <c r="Q48" s="172"/>
      <c r="R48" s="173"/>
      <c r="S48" s="171"/>
      <c r="T48" s="175"/>
      <c r="BW48" s="112"/>
      <c r="BX48" s="112"/>
      <c r="BY48" s="111"/>
      <c r="BZ48" s="111"/>
    </row>
    <row r="49" spans="1:80" s="1" customFormat="1" x14ac:dyDescent="0.4">
      <c r="A49" s="1" t="e">
        <f>IF(OR(ABS($E$41)&lt;=$I$6,ABS($E$42)&lt;=$I$5), "The difference is &lt; the acceptable limit (Dmax), indicating that Interference is NOT Clinically Significant", "The difference is &gt; the acceptable limit (Dmax), indicating that Interference is Clinically Significant")</f>
        <v>#DIV/0!</v>
      </c>
      <c r="D49" s="20"/>
      <c r="E49" s="20"/>
      <c r="M49"/>
      <c r="N49"/>
      <c r="O49"/>
      <c r="P49"/>
      <c r="Q49"/>
      <c r="R49"/>
      <c r="S49"/>
      <c r="T49"/>
      <c r="V49"/>
      <c r="BW49" s="112"/>
      <c r="BX49" s="112"/>
      <c r="BY49" s="111"/>
      <c r="BZ49" s="111"/>
    </row>
    <row r="50" spans="1:80" x14ac:dyDescent="0.4">
      <c r="A50" s="21"/>
      <c r="B50" s="1"/>
      <c r="C50" s="1"/>
      <c r="D50" s="20"/>
      <c r="E50" s="20"/>
      <c r="G50" s="1"/>
      <c r="H50" s="1"/>
      <c r="I50" s="1"/>
      <c r="J50" s="1"/>
      <c r="K50" s="1"/>
      <c r="N50" s="1" t="s">
        <v>33</v>
      </c>
      <c r="Q50" s="1"/>
    </row>
    <row r="51" spans="1:80" x14ac:dyDescent="0.4">
      <c r="A51" s="21" t="s">
        <v>65</v>
      </c>
      <c r="B51" s="1"/>
      <c r="C51" s="1"/>
      <c r="D51" s="20"/>
      <c r="E51" s="20"/>
      <c r="G51" s="1"/>
      <c r="H51" s="1"/>
      <c r="I51" s="1"/>
      <c r="J51" s="1"/>
      <c r="K51" s="1"/>
      <c r="N51" s="49" t="s">
        <v>151</v>
      </c>
      <c r="O51">
        <v>0.05</v>
      </c>
    </row>
    <row r="52" spans="1:80" x14ac:dyDescent="0.4">
      <c r="A52" s="12" t="e">
        <f>IF(J$38&gt;=0.05, "The difference between Test and Control Pools is NOT statistically significant.", "The difference between Test and Control Pools IS statistically significant with a 1-tailed test.")</f>
        <v>#DIV/0!</v>
      </c>
      <c r="D52" s="18"/>
      <c r="E52" s="18"/>
      <c r="F52" s="1"/>
      <c r="G52" s="12"/>
      <c r="M52" s="1"/>
      <c r="N52" s="49" t="s">
        <v>79</v>
      </c>
      <c r="O52">
        <f>$B$34+$D$34-2</f>
        <v>-2</v>
      </c>
      <c r="Q52" s="49" t="s">
        <v>223</v>
      </c>
      <c r="R52" s="1"/>
      <c r="S52" s="1"/>
      <c r="T52" s="1"/>
      <c r="V52" s="1"/>
    </row>
    <row r="53" spans="1:80" s="1" customFormat="1" x14ac:dyDescent="0.4">
      <c r="A53" s="12" t="e">
        <f>IF(J$39&gt;=0.05, "The difference between Test and Control Pools is NOT statistically significant.", "The difference between Test and Control Pools IS statistically significant with a 2-tailed test.")</f>
        <v>#DIV/0!</v>
      </c>
      <c r="B53"/>
      <c r="C53"/>
      <c r="D53" s="18"/>
      <c r="E53" s="18"/>
      <c r="G53" s="12"/>
      <c r="H53"/>
      <c r="I53"/>
      <c r="J53"/>
      <c r="K53"/>
      <c r="M53"/>
      <c r="N53" s="49" t="s">
        <v>150</v>
      </c>
      <c r="O53" t="e">
        <f>_xlfn.T.INV.2T($O$51,$O$52)</f>
        <v>#NUM!</v>
      </c>
      <c r="P53"/>
      <c r="Q53" s="49" t="s">
        <v>224</v>
      </c>
      <c r="R53"/>
      <c r="S53"/>
      <c r="T53"/>
      <c r="V53"/>
      <c r="BY53" s="112"/>
      <c r="BZ53" s="112"/>
      <c r="CA53" s="112"/>
      <c r="CB53" s="112"/>
    </row>
    <row r="54" spans="1:80" x14ac:dyDescent="0.4">
      <c r="A54" s="1" t="e">
        <f>IF(OR(ABS($K$41)&lt;=$I$6, ABS($K$42)&lt;$I$5),"The difference is &lt; the acceptable limit (Dmax), indicating that Interference is NOT Clinically Significant", "The difference is &gt; the acceptable limit (Dmax), indicating that Interference is Clinically Significant")</f>
        <v>#DIV/0!</v>
      </c>
      <c r="D54" s="18"/>
      <c r="E54" s="18"/>
      <c r="J54" s="12"/>
      <c r="O54" s="49" t="e">
        <f>SQRT((($B$36^2)/$B$34)+(($D$36^2)/$D$34))</f>
        <v>#DIV/0!</v>
      </c>
      <c r="Q54" t="s">
        <v>225</v>
      </c>
      <c r="BV54" s="111"/>
      <c r="BW54" s="111"/>
      <c r="BX54" s="111"/>
      <c r="BZ54"/>
      <c r="CA54"/>
      <c r="CB54"/>
    </row>
    <row r="55" spans="1:80" x14ac:dyDescent="0.4">
      <c r="J55" s="12"/>
      <c r="M55" s="1"/>
      <c r="N55" s="49" t="s">
        <v>176</v>
      </c>
      <c r="O55" s="49" t="e">
        <f>$O$53*$O$54</f>
        <v>#NUM!</v>
      </c>
      <c r="Q55" s="49" t="s">
        <v>226</v>
      </c>
      <c r="R55" s="1"/>
      <c r="S55" s="1"/>
      <c r="T55" s="1"/>
      <c r="V55" s="1"/>
    </row>
    <row r="56" spans="1:80" s="1" customFormat="1" x14ac:dyDescent="0.4">
      <c r="A56"/>
      <c r="B56"/>
      <c r="C56"/>
      <c r="D56"/>
      <c r="E56"/>
      <c r="F56"/>
      <c r="G56"/>
      <c r="H56"/>
      <c r="I56"/>
      <c r="L56"/>
      <c r="M56"/>
      <c r="N56"/>
      <c r="O56"/>
      <c r="P56"/>
      <c r="Q56"/>
      <c r="R56"/>
      <c r="S56"/>
      <c r="T56"/>
      <c r="V56"/>
      <c r="BY56" s="112"/>
      <c r="BZ56" s="112"/>
      <c r="CA56" s="112"/>
      <c r="CB56" s="112"/>
    </row>
    <row r="57" spans="1:80" x14ac:dyDescent="0.4">
      <c r="A57" s="1" t="s">
        <v>66</v>
      </c>
      <c r="B57" s="1"/>
      <c r="C57" s="1"/>
      <c r="D57" s="1"/>
      <c r="E57" s="1"/>
      <c r="F57" s="1" t="s">
        <v>5</v>
      </c>
      <c r="G57" s="1"/>
      <c r="H57" s="1"/>
      <c r="I57" s="1"/>
      <c r="L57" s="1"/>
      <c r="N57" s="1" t="s">
        <v>34</v>
      </c>
      <c r="P57" s="1"/>
    </row>
    <row r="58" spans="1:80" x14ac:dyDescent="0.4">
      <c r="J58" s="253"/>
      <c r="N58" s="49" t="s">
        <v>151</v>
      </c>
      <c r="O58">
        <v>0.05</v>
      </c>
      <c r="P58" s="1"/>
    </row>
    <row r="59" spans="1:80" x14ac:dyDescent="0.4">
      <c r="B59" s="253"/>
      <c r="C59" s="253"/>
      <c r="D59" s="253"/>
      <c r="E59" s="253"/>
      <c r="G59" s="253"/>
      <c r="H59" s="253"/>
      <c r="I59" s="253"/>
      <c r="J59" s="246"/>
      <c r="K59" s="1"/>
      <c r="N59" s="49" t="s">
        <v>79</v>
      </c>
      <c r="O59">
        <f>$H$34+$J$34-2</f>
        <v>-2</v>
      </c>
      <c r="P59" s="1"/>
      <c r="Q59" s="49" t="s">
        <v>227</v>
      </c>
    </row>
    <row r="60" spans="1:80" x14ac:dyDescent="0.4">
      <c r="A60" s="1" t="s">
        <v>67</v>
      </c>
      <c r="B60" s="246"/>
      <c r="C60" s="246"/>
      <c r="D60" s="246"/>
      <c r="E60" s="246"/>
      <c r="G60" s="246"/>
      <c r="H60" s="246"/>
      <c r="I60" s="246"/>
      <c r="N60" s="49" t="s">
        <v>150</v>
      </c>
      <c r="O60" t="e">
        <f>_xlfn.T.INV.2T($O$58,$O$59)</f>
        <v>#NUM!</v>
      </c>
      <c r="P60" s="1"/>
      <c r="Q60" s="49" t="s">
        <v>228</v>
      </c>
    </row>
    <row r="61" spans="1:80" x14ac:dyDescent="0.4">
      <c r="O61" t="e">
        <f>SQRT((($H$36^2)/$H$34)+(($J$36^2)/$J$34))</f>
        <v>#DIV/0!</v>
      </c>
      <c r="P61" s="1"/>
      <c r="Q61" s="49" t="s">
        <v>229</v>
      </c>
    </row>
    <row r="62" spans="1:80" x14ac:dyDescent="0.4">
      <c r="A62" s="49" t="s">
        <v>131</v>
      </c>
      <c r="N62" s="49" t="s">
        <v>176</v>
      </c>
      <c r="O62" t="e">
        <f>$O$60*$O$61</f>
        <v>#NUM!</v>
      </c>
      <c r="Q62" s="49" t="s">
        <v>230</v>
      </c>
    </row>
    <row r="63" spans="1:80" x14ac:dyDescent="0.4">
      <c r="A63">
        <v>1</v>
      </c>
      <c r="B63" s="49" t="s">
        <v>158</v>
      </c>
      <c r="N63" s="1"/>
      <c r="O63" s="1"/>
    </row>
    <row r="64" spans="1:80" x14ac:dyDescent="0.4">
      <c r="A64">
        <v>2</v>
      </c>
      <c r="B64" s="49" t="s">
        <v>133</v>
      </c>
      <c r="N64" s="1"/>
      <c r="O64" s="1"/>
    </row>
    <row r="65" spans="1:16" x14ac:dyDescent="0.4">
      <c r="A65">
        <v>3</v>
      </c>
      <c r="B65" s="49" t="s">
        <v>234</v>
      </c>
      <c r="N65" s="1"/>
      <c r="O65" s="1"/>
      <c r="P65" s="1"/>
    </row>
    <row r="66" spans="1:16" x14ac:dyDescent="0.4">
      <c r="N66" s="1"/>
      <c r="O66" s="1"/>
    </row>
    <row r="67" spans="1:16" x14ac:dyDescent="0.4">
      <c r="N67" s="1"/>
      <c r="O67" s="1"/>
    </row>
    <row r="68" spans="1:16" x14ac:dyDescent="0.4">
      <c r="P68" s="1"/>
    </row>
    <row r="71" spans="1:16" x14ac:dyDescent="0.4">
      <c r="N71" s="1"/>
      <c r="O71" s="1"/>
    </row>
    <row r="74" spans="1:16" x14ac:dyDescent="0.4">
      <c r="N74" s="1"/>
      <c r="O74" s="1"/>
    </row>
  </sheetData>
  <sheetProtection selectLockedCells="1"/>
  <protectedRanges>
    <protectedRange algorithmName="SHA-512" hashValue="4KY1Cay0asyut3KHg0yQpyNVFIDMMeZBDcKFIJUeq15ERCCU5kJiSEAuvmG/h++6yHTxOLdzIdNkxkfOQtMS9A==" saltValue="l/8yh7tUp4iptvVaPL8xIw==" spinCount="100000" sqref="C3:D9 I3:I8 I11" name="Range1_2"/>
    <protectedRange algorithmName="SHA-512" hashValue="d4mfU+lK8w0dKPiGLCZvHQB9ZRGzoo6sihpPs4kuGabLnddE3hDAIBUqoS3elO8+cBs2nAXFdQ7+llf+NmKR5Q==" saltValue="/T0u8uGDKJwKDVfpTxcW5g==" spinCount="100000" sqref="B14:B33 D14:D33 H14:H33 J14:J33" name="Range2_2"/>
  </protectedRanges>
  <mergeCells count="34">
    <mergeCell ref="A3:B3"/>
    <mergeCell ref="C3:D3"/>
    <mergeCell ref="F3:H3"/>
    <mergeCell ref="I3:J3"/>
    <mergeCell ref="A4:B4"/>
    <mergeCell ref="C4:D4"/>
    <mergeCell ref="F4:H4"/>
    <mergeCell ref="I4:J4"/>
    <mergeCell ref="W4:X4"/>
    <mergeCell ref="A6:B6"/>
    <mergeCell ref="C6:D6"/>
    <mergeCell ref="F7:H7"/>
    <mergeCell ref="I7:J7"/>
    <mergeCell ref="A7:B7"/>
    <mergeCell ref="C7:D7"/>
    <mergeCell ref="A5:B5"/>
    <mergeCell ref="C5:D5"/>
    <mergeCell ref="I5:J5"/>
    <mergeCell ref="A8:B8"/>
    <mergeCell ref="C8:D8"/>
    <mergeCell ref="F9:H9"/>
    <mergeCell ref="I9:J9"/>
    <mergeCell ref="A9:B9"/>
    <mergeCell ref="C9:D9"/>
    <mergeCell ref="F8:H8"/>
    <mergeCell ref="I8:J8"/>
    <mergeCell ref="F11:H11"/>
    <mergeCell ref="I11:J11"/>
    <mergeCell ref="I6:J6"/>
    <mergeCell ref="K2:L2"/>
    <mergeCell ref="M2:N2"/>
    <mergeCell ref="F6:H6"/>
    <mergeCell ref="F10:H10"/>
    <mergeCell ref="I10:J10"/>
  </mergeCells>
  <dataValidations count="2">
    <dataValidation type="list" allowBlank="1" showInputMessage="1" showErrorMessage="1" sqref="I8:J8" xr:uid="{3123EE27-6F6C-4E25-98D1-A6F05FA93B81}">
      <formula1>$S$4:$S$9</formula1>
    </dataValidation>
    <dataValidation type="list" allowBlank="1" showInputMessage="1" showErrorMessage="1" sqref="I7" xr:uid="{C9AD7469-5E1B-4080-A814-A9BCA503285A}">
      <formula1>$M$4:$M$9</formula1>
    </dataValidation>
  </dataValidations>
  <pageMargins left="0.7" right="0.7" top="0.75" bottom="0.75" header="0.3" footer="0.3"/>
  <pageSetup scale="43" orientation="portrait" r:id="rId1"/>
  <headerFooter>
    <oddHeader>&amp;C&amp;G</oddHeader>
    <oddFooter xml:space="preserve">&amp;RSunDx INTWKSHT20191021
</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DF0CB-0C0D-4304-A217-58AC28BAA2F3}">
  <sheetPr codeName="Sheet6"/>
  <dimension ref="A1:CC74"/>
  <sheetViews>
    <sheetView topLeftCell="A3" zoomScale="80" zoomScaleNormal="80" workbookViewId="0">
      <selection activeCell="C3" sqref="C3:D3"/>
    </sheetView>
  </sheetViews>
  <sheetFormatPr defaultRowHeight="12.7" x14ac:dyDescent="0.4"/>
  <cols>
    <col min="1" max="1" width="11.64453125" bestFit="1" customWidth="1"/>
    <col min="2" max="2" width="12.3515625" bestFit="1" customWidth="1"/>
    <col min="3" max="3" width="10.234375" bestFit="1" customWidth="1"/>
    <col min="4" max="4" width="9.234375" bestFit="1" customWidth="1"/>
    <col min="7" max="7" width="11.64453125" bestFit="1" customWidth="1"/>
    <col min="8" max="8" width="9.64453125" customWidth="1"/>
    <col min="10" max="10" width="10.234375" customWidth="1"/>
    <col min="11" max="11" width="9" bestFit="1" customWidth="1"/>
    <col min="12" max="12" width="12.41015625" customWidth="1"/>
    <col min="13" max="13" width="5.87890625" customWidth="1"/>
    <col min="14" max="14" width="8.87890625" customWidth="1"/>
    <col min="15" max="15" width="8.234375" customWidth="1"/>
    <col min="16" max="16" width="7.52734375" bestFit="1" customWidth="1"/>
    <col min="17" max="17" width="8.1171875" bestFit="1" customWidth="1"/>
    <col min="18" max="19" width="6.234375" bestFit="1" customWidth="1"/>
    <col min="20" max="20" width="7.52734375" bestFit="1" customWidth="1"/>
    <col min="21" max="21" width="6.234375" bestFit="1" customWidth="1"/>
    <col min="22" max="22" width="4.64453125" bestFit="1" customWidth="1"/>
    <col min="27" max="29" width="8.87890625" customWidth="1"/>
    <col min="77" max="78" width="8.87890625" style="111"/>
    <col min="79" max="79" width="6.1171875" style="111" customWidth="1"/>
    <col min="80" max="80" width="9.1171875" style="111" customWidth="1"/>
  </cols>
  <sheetData>
    <row r="1" spans="1:81" ht="13" thickBot="1" x14ac:dyDescent="0.45">
      <c r="A1" s="1" t="s">
        <v>8</v>
      </c>
      <c r="F1" s="1" t="s">
        <v>120</v>
      </c>
    </row>
    <row r="2" spans="1:81" ht="13" thickBot="1" x14ac:dyDescent="0.45">
      <c r="C2" s="49" t="s">
        <v>233</v>
      </c>
      <c r="J2" s="180"/>
      <c r="K2" s="310" t="s">
        <v>137</v>
      </c>
      <c r="L2" s="309"/>
      <c r="M2" s="308" t="s">
        <v>138</v>
      </c>
      <c r="N2" s="309"/>
      <c r="BV2" s="111"/>
      <c r="BW2" s="111"/>
      <c r="BX2" s="111"/>
      <c r="BZ2"/>
      <c r="CA2"/>
      <c r="CB2"/>
    </row>
    <row r="3" spans="1:81" ht="13.35" thickBot="1" x14ac:dyDescent="0.5">
      <c r="A3" s="317" t="s">
        <v>5</v>
      </c>
      <c r="B3" s="312"/>
      <c r="C3" s="318"/>
      <c r="D3" s="319"/>
      <c r="E3" s="28"/>
      <c r="F3" s="320" t="s">
        <v>42</v>
      </c>
      <c r="G3" s="320"/>
      <c r="H3" s="321"/>
      <c r="I3" s="315"/>
      <c r="J3" s="316"/>
      <c r="M3" s="181" t="s">
        <v>170</v>
      </c>
      <c r="N3" s="176" t="s">
        <v>164</v>
      </c>
      <c r="O3" s="114" t="s">
        <v>165</v>
      </c>
      <c r="P3" s="113" t="s">
        <v>164</v>
      </c>
      <c r="Q3" s="114" t="s">
        <v>165</v>
      </c>
      <c r="S3" s="185" t="s">
        <v>171</v>
      </c>
      <c r="T3" s="169" t="s">
        <v>166</v>
      </c>
      <c r="U3" s="186" t="s">
        <v>163</v>
      </c>
      <c r="V3" s="189" t="s">
        <v>169</v>
      </c>
    </row>
    <row r="4" spans="1:81" x14ac:dyDescent="0.4">
      <c r="A4" s="311" t="s">
        <v>37</v>
      </c>
      <c r="B4" s="312"/>
      <c r="C4" s="336"/>
      <c r="D4" s="314"/>
      <c r="E4" s="22"/>
      <c r="F4" s="320" t="s">
        <v>43</v>
      </c>
      <c r="G4" s="320"/>
      <c r="H4" s="321"/>
      <c r="I4" s="332"/>
      <c r="J4" s="327"/>
      <c r="K4" s="42">
        <f>C5</f>
        <v>0</v>
      </c>
      <c r="M4" s="182">
        <v>0.2</v>
      </c>
      <c r="N4" s="177">
        <v>0.8</v>
      </c>
      <c r="O4" s="162">
        <v>0.84199999999999997</v>
      </c>
      <c r="P4" s="162">
        <v>0.8</v>
      </c>
      <c r="Q4" s="163">
        <v>1.282</v>
      </c>
      <c r="S4" s="182">
        <v>0.2</v>
      </c>
      <c r="T4" s="161">
        <v>0.8</v>
      </c>
      <c r="U4" s="187">
        <v>0.84199999999999997</v>
      </c>
      <c r="V4" s="190">
        <v>1</v>
      </c>
      <c r="W4" s="328"/>
      <c r="X4" s="329"/>
      <c r="BY4"/>
      <c r="CC4" s="111"/>
    </row>
    <row r="5" spans="1:81" ht="13" thickBot="1" x14ac:dyDescent="0.45">
      <c r="A5" s="311" t="s">
        <v>31</v>
      </c>
      <c r="B5" s="312"/>
      <c r="C5" s="330"/>
      <c r="D5" s="314"/>
      <c r="E5" s="22"/>
      <c r="F5" s="256" t="s">
        <v>231</v>
      </c>
      <c r="G5" s="253"/>
      <c r="H5" s="254"/>
      <c r="I5" s="323"/>
      <c r="J5" s="324"/>
      <c r="K5" s="265" t="s">
        <v>205</v>
      </c>
      <c r="M5" s="183">
        <v>0.15</v>
      </c>
      <c r="N5" s="178">
        <v>0.85</v>
      </c>
      <c r="O5" s="159">
        <v>1.036</v>
      </c>
      <c r="P5" s="160">
        <v>0.85</v>
      </c>
      <c r="Q5" s="165">
        <v>1.44</v>
      </c>
      <c r="S5" s="183">
        <v>0.15</v>
      </c>
      <c r="T5" s="164">
        <v>0.85</v>
      </c>
      <c r="U5" s="188">
        <v>1.036</v>
      </c>
      <c r="V5" s="191">
        <v>2</v>
      </c>
      <c r="BY5"/>
      <c r="CC5" s="111"/>
    </row>
    <row r="6" spans="1:81" x14ac:dyDescent="0.4">
      <c r="A6" s="311" t="s">
        <v>38</v>
      </c>
      <c r="B6" s="312"/>
      <c r="C6" s="325"/>
      <c r="D6" s="314"/>
      <c r="E6" s="22"/>
      <c r="F6" s="322" t="s">
        <v>232</v>
      </c>
      <c r="G6" s="320"/>
      <c r="H6" s="321"/>
      <c r="I6" s="326"/>
      <c r="J6" s="327"/>
      <c r="K6" s="264">
        <f>C5</f>
        <v>0</v>
      </c>
      <c r="M6" s="183">
        <v>0.1</v>
      </c>
      <c r="N6" s="178">
        <v>0.9</v>
      </c>
      <c r="O6" s="160">
        <v>1.282</v>
      </c>
      <c r="P6" s="160">
        <v>0.9</v>
      </c>
      <c r="Q6" s="165">
        <v>1.645</v>
      </c>
      <c r="S6" s="183">
        <v>0.1</v>
      </c>
      <c r="T6" s="164">
        <v>0.9</v>
      </c>
      <c r="U6" s="165">
        <v>1.282</v>
      </c>
      <c r="BY6"/>
      <c r="CC6" s="111"/>
    </row>
    <row r="7" spans="1:81" x14ac:dyDescent="0.4">
      <c r="A7" s="311" t="s">
        <v>39</v>
      </c>
      <c r="B7" s="312"/>
      <c r="C7" s="313"/>
      <c r="D7" s="314"/>
      <c r="E7" s="22"/>
      <c r="F7" s="320" t="s">
        <v>167</v>
      </c>
      <c r="G7" s="320"/>
      <c r="H7" s="321"/>
      <c r="I7" s="335"/>
      <c r="J7" s="314"/>
      <c r="K7" s="4"/>
      <c r="M7" s="183">
        <v>0.05</v>
      </c>
      <c r="N7" s="178">
        <v>0.95</v>
      </c>
      <c r="O7" s="160">
        <v>1.645</v>
      </c>
      <c r="P7" s="160">
        <v>0.95</v>
      </c>
      <c r="Q7" s="165">
        <v>1.96</v>
      </c>
      <c r="S7" s="183">
        <v>0.05</v>
      </c>
      <c r="T7" s="164">
        <v>0.95</v>
      </c>
      <c r="U7" s="165">
        <v>1.645</v>
      </c>
      <c r="BY7"/>
      <c r="CC7" s="111"/>
    </row>
    <row r="8" spans="1:81" x14ac:dyDescent="0.4">
      <c r="A8" s="311" t="s">
        <v>40</v>
      </c>
      <c r="B8" s="312"/>
      <c r="C8" s="313"/>
      <c r="D8" s="314"/>
      <c r="E8" s="22"/>
      <c r="F8" s="320" t="s">
        <v>168</v>
      </c>
      <c r="G8" s="320"/>
      <c r="H8" s="321"/>
      <c r="I8" s="335"/>
      <c r="J8" s="314"/>
      <c r="M8" s="183">
        <v>2.5000000000000001E-2</v>
      </c>
      <c r="N8" s="178">
        <v>0.97499999999999998</v>
      </c>
      <c r="O8" s="160">
        <v>1.96</v>
      </c>
      <c r="P8" s="160">
        <v>0.97499999999999998</v>
      </c>
      <c r="Q8" s="165">
        <v>2.2400000000000002</v>
      </c>
      <c r="S8" s="183">
        <v>2.5000000000000001E-2</v>
      </c>
      <c r="T8" s="164">
        <v>0.97499999999999998</v>
      </c>
      <c r="U8" s="165">
        <v>1.96</v>
      </c>
      <c r="BY8"/>
      <c r="CC8" s="111"/>
    </row>
    <row r="9" spans="1:81" ht="13" thickBot="1" x14ac:dyDescent="0.45">
      <c r="A9" s="311" t="s">
        <v>30</v>
      </c>
      <c r="B9" s="312"/>
      <c r="C9" s="330"/>
      <c r="D9" s="314"/>
      <c r="E9" s="22"/>
      <c r="F9" s="322" t="s">
        <v>172</v>
      </c>
      <c r="G9" s="320"/>
      <c r="H9" s="321"/>
      <c r="I9" s="333">
        <f>ROUNDUP(IF(AND(I7=0.2,I8=0.2),P12,IF(AND(I7=0.2,I8=0.15),P13,IF(AND(I7=0.2,I8=0.1),P14,IF(AND(I7=0.2,I8=0.05),P15,IF(AND(I7=0.2,I8=0.025),P16,IF(AND(I7=0.2,I8=0.01),P17,IF(AND(I7=0.15,I8=0.2),P18,IF(AND(I7=0.15,I8=0.15),P19,IF(AND(I7=0.15,I8=0.1),P20,IF(AND(I7=0.15,I8=0.05),P21,IF(AND(I7=0.15,I8=0.025),P22,IF(AND(I7=0.15,I8=0.01),P23,IF(AND(I7=0.1,I8=0.2),P24,IF(AND(I7=0.1,I8=0.15),P25,IF(AND(I7=0.1,I8=0.1),P26,IF(AND(I7=0.1,I8=0.05),P27,IF(AND(I7=0.1,I8=0.025),P28,IF(AND(I7=0.1,I8=0.01),P29,IF(AND(I7=0.05,I8=0.2),P30,IF(AND(I7=0.05,I8=0.15),P31,IF(AND(I7=0.05,I8=0.1),P32,IF(AND(I7=0.05,I8=0.05),P33,IF(AND(I7=0.05,I8=0.025),P34,IF(AND(I7=0.05,I8=0.01),P35,IF(AND(I7=0.025,I8=0.2),P36,IF(AND(I7=0.025,I8=0.1),P37,IF(AND(I7=0.025,I8=0.05),P38,IF(AND(I7=0.025,I8=0.025),P39,IF(AND(I7=0.025,I8=0.01),P40,IF(AND(I7=0.01,I8=0.2),P41,IF(AND(I7=0.01,I8=0.2),P42,IF(AND(I7=0.01,I8=0.15),P43,IF(AND(I7=0.01,I8=0.1),P44,IF(AND(I7=0.01,I8=0.05),P45,IF(AND(I7=0.01,I8=0.025),P46,IF(AND(I7=0.01,I8=0.01),P45)))))))))))))))))))))))))))))))))))),0)</f>
        <v>0</v>
      </c>
      <c r="J9" s="334"/>
      <c r="M9" s="184">
        <v>0.01</v>
      </c>
      <c r="N9" s="179">
        <v>0.99</v>
      </c>
      <c r="O9" s="167">
        <v>2.3260000000000001</v>
      </c>
      <c r="P9" s="167">
        <v>0.99</v>
      </c>
      <c r="Q9" s="168">
        <v>2.5760000000000001</v>
      </c>
      <c r="S9" s="184">
        <v>0.01</v>
      </c>
      <c r="T9" s="166">
        <v>0.99</v>
      </c>
      <c r="U9" s="168">
        <v>2.3260000000000001</v>
      </c>
      <c r="BY9"/>
      <c r="CC9" s="111"/>
    </row>
    <row r="10" spans="1:81" x14ac:dyDescent="0.4">
      <c r="A10" s="5"/>
      <c r="B10" s="22"/>
      <c r="C10" s="170"/>
      <c r="D10" s="22"/>
      <c r="E10" s="22"/>
      <c r="F10" s="322" t="s">
        <v>173</v>
      </c>
      <c r="G10" s="320"/>
      <c r="H10" s="321"/>
      <c r="I10" s="337">
        <f>ROUNDUP(IF(AND(I7=0.2,I8=0.2),T12,IF(AND(I7=0.2,I8=0.15),T13,IF(AND(I7=0.2,I8=0.1),T14,IF(AND(I7=0.2,I8=0.05),T15,IF(AND(I7=0.2,I8=0.025),T16,IF(AND(I7=0.2,I8=0.01),T17,IF(AND(I7=0.15,I8=0.2),T18,IF(AND(I7=0.15,I8=0.15),T19,IF(AND(I7=0.15,I8=0.1),T20,IF(AND(I7=0.15,I8=0.05),T21,IF(AND(I7=0.15,I8=0.025),T22,IF(AND(I7=0.15,I8=0.01),T23,IF(AND(I7=0.1,I8=0.2),T24,IF(AND(I7=0.1,I8=0.15),T25,IF(AND(I7=0.1,I8=0.1),T26,IF(AND(I7=0.1,I8=0.05),T27,IF(AND(I7=0.1,I8=0.025),T28,IF(AND(I7=0.1,I8=0.01),T29,IF(AND(I7=0.05,I8=0.2),T30,IF(AND(I7=0.05,I8=0.15),T31,IF(AND(I7=0.05,I8=0.1),T32,IF(AND(I7=0.05,I8=0.05),T33,IF(AND(I7=0.05,I8=0.025),T34,IF(AND(I7=0.05,I8=0.01),T35,IF(AND(I7=0.025,I8=0.2),T36,IF(AND(I7=0.025,I8=0.15),T37,IF(AND(I7=0.025,I8=0.1),T38,IF(AND(I7=0.025,I8=0.05),T39,IF(AND(I7=0.025,I8=0.025),T40,IF(AND(I7=0.025,I8=0.01),T41,IF(AND(I7=0.01,I8=0.2),T42,IF(AND(I7=0.01,I8=0.15),T43,IF(AND(I7=0.01,I8=0.1),T44,IF(AND(I7=0.01,I8=0.05),T45,IF(AND(I7=0.01,I8=0.025),T46,IF(AND(I7=0.01,I8=0.01),T47)))))))))))))))))))))))))))))))))))),0)</f>
        <v>0</v>
      </c>
      <c r="J10" s="334"/>
      <c r="K10" s="1"/>
      <c r="M10" s="22"/>
      <c r="N10" s="192"/>
      <c r="O10" s="192"/>
      <c r="P10" s="192"/>
      <c r="Q10" s="192"/>
      <c r="S10" s="22"/>
      <c r="T10" s="192"/>
      <c r="U10" s="192"/>
      <c r="V10" s="1"/>
      <c r="BY10"/>
      <c r="CB10" s="112"/>
      <c r="CC10" s="112"/>
    </row>
    <row r="11" spans="1:81" s="1" customFormat="1" x14ac:dyDescent="0.4">
      <c r="A11" s="1" t="s">
        <v>175</v>
      </c>
      <c r="B11" s="4"/>
      <c r="C11" s="9"/>
      <c r="D11" s="9"/>
      <c r="E11" s="4"/>
      <c r="F11" s="320" t="s">
        <v>68</v>
      </c>
      <c r="G11" s="320"/>
      <c r="H11" s="321"/>
      <c r="I11" s="331"/>
      <c r="J11" s="316"/>
      <c r="K11"/>
      <c r="M11" s="6" t="s">
        <v>169</v>
      </c>
      <c r="N11" s="6" t="s">
        <v>167</v>
      </c>
      <c r="O11" s="6" t="s">
        <v>168</v>
      </c>
      <c r="P11" s="6" t="s">
        <v>174</v>
      </c>
      <c r="Q11" s="6" t="s">
        <v>169</v>
      </c>
      <c r="R11" s="6" t="s">
        <v>167</v>
      </c>
      <c r="S11" s="6" t="s">
        <v>168</v>
      </c>
      <c r="T11" s="6" t="s">
        <v>174</v>
      </c>
      <c r="V11"/>
      <c r="BW11" s="112"/>
      <c r="BX11" s="112"/>
      <c r="BY11" s="111"/>
      <c r="BZ11" s="111"/>
    </row>
    <row r="12" spans="1:81" x14ac:dyDescent="0.4">
      <c r="A12" s="25" t="s">
        <v>33</v>
      </c>
      <c r="B12" s="24"/>
      <c r="C12" s="16"/>
      <c r="D12" s="17"/>
      <c r="E12" s="10"/>
      <c r="F12" s="2"/>
      <c r="G12" s="25" t="s">
        <v>34</v>
      </c>
      <c r="H12" s="24"/>
      <c r="I12" s="16"/>
      <c r="J12" s="17"/>
      <c r="M12" s="172">
        <v>1</v>
      </c>
      <c r="N12" s="171">
        <v>0.2</v>
      </c>
      <c r="O12" s="171">
        <v>0.2</v>
      </c>
      <c r="P12" s="175" t="e">
        <f>2*(((O4+U4)*($I$4/$I$6))^2)</f>
        <v>#DIV/0!</v>
      </c>
      <c r="Q12" s="172">
        <v>2</v>
      </c>
      <c r="R12" s="171">
        <v>0.2</v>
      </c>
      <c r="S12" s="171">
        <v>0.2</v>
      </c>
      <c r="T12" s="175" t="e">
        <f>2*(((Q4+U4)*($I$4/$I$6))^2)</f>
        <v>#DIV/0!</v>
      </c>
      <c r="BW12" s="111"/>
      <c r="BX12" s="111"/>
      <c r="CA12"/>
      <c r="CB12"/>
    </row>
    <row r="13" spans="1:81" x14ac:dyDescent="0.4">
      <c r="A13" s="26" t="s">
        <v>2</v>
      </c>
      <c r="B13" s="10" t="s">
        <v>7</v>
      </c>
      <c r="C13" s="26" t="s">
        <v>2</v>
      </c>
      <c r="D13" s="14" t="s">
        <v>36</v>
      </c>
      <c r="E13" s="8"/>
      <c r="F13" s="2"/>
      <c r="G13" s="26" t="s">
        <v>2</v>
      </c>
      <c r="H13" s="10" t="s">
        <v>7</v>
      </c>
      <c r="I13" s="26" t="s">
        <v>2</v>
      </c>
      <c r="J13" s="14" t="s">
        <v>36</v>
      </c>
      <c r="M13" s="172">
        <v>1</v>
      </c>
      <c r="N13" s="171">
        <v>0.2</v>
      </c>
      <c r="O13" s="171">
        <v>0.15</v>
      </c>
      <c r="P13" s="175" t="e">
        <f>2*(((O4+U5)*($I$4/$I$6))^2)</f>
        <v>#DIV/0!</v>
      </c>
      <c r="Q13" s="172">
        <v>2</v>
      </c>
      <c r="R13" s="171">
        <v>0.2</v>
      </c>
      <c r="S13" s="171">
        <v>0.15</v>
      </c>
      <c r="T13" s="175" t="e">
        <f>2*(((Q4+U5)*($I$4/$I$6))^2)</f>
        <v>#DIV/0!</v>
      </c>
      <c r="BW13" s="111"/>
      <c r="BX13" s="111"/>
      <c r="CA13"/>
      <c r="CB13"/>
    </row>
    <row r="14" spans="1:81" x14ac:dyDescent="0.4">
      <c r="A14" s="15" t="s">
        <v>9</v>
      </c>
      <c r="B14" s="210"/>
      <c r="C14" s="22" t="s">
        <v>19</v>
      </c>
      <c r="D14" s="210"/>
      <c r="E14" s="8"/>
      <c r="F14" s="2"/>
      <c r="G14" s="15" t="s">
        <v>9</v>
      </c>
      <c r="H14" s="255"/>
      <c r="I14" s="22" t="s">
        <v>19</v>
      </c>
      <c r="J14" s="255"/>
      <c r="M14" s="172">
        <v>1</v>
      </c>
      <c r="N14" s="171">
        <v>0.2</v>
      </c>
      <c r="O14" s="171">
        <v>0.1</v>
      </c>
      <c r="P14" s="175" t="e">
        <f>2*(((O4+U6)*($I$4/$I$6))^2)</f>
        <v>#DIV/0!</v>
      </c>
      <c r="Q14" s="172">
        <v>2</v>
      </c>
      <c r="R14" s="171">
        <v>0.2</v>
      </c>
      <c r="S14" s="171">
        <v>0.1</v>
      </c>
      <c r="T14" s="175" t="e">
        <f>2*(((Q4+U6)*($I$4/$I$6))^2)</f>
        <v>#DIV/0!</v>
      </c>
      <c r="BW14" s="111"/>
      <c r="BX14" s="111"/>
      <c r="CA14"/>
      <c r="CB14"/>
    </row>
    <row r="15" spans="1:81" x14ac:dyDescent="0.4">
      <c r="A15" s="15" t="s">
        <v>10</v>
      </c>
      <c r="B15" s="210"/>
      <c r="C15" s="22" t="s">
        <v>20</v>
      </c>
      <c r="D15" s="210"/>
      <c r="E15" s="8"/>
      <c r="F15" s="2"/>
      <c r="G15" s="15" t="s">
        <v>10</v>
      </c>
      <c r="H15" s="255"/>
      <c r="I15" s="22" t="s">
        <v>20</v>
      </c>
      <c r="J15" s="255"/>
      <c r="M15" s="172">
        <v>1</v>
      </c>
      <c r="N15" s="171">
        <v>0.2</v>
      </c>
      <c r="O15" s="171">
        <v>0.05</v>
      </c>
      <c r="P15" s="175" t="e">
        <f>2*(((O4+U7)*($I$4/$I$6))^2)</f>
        <v>#DIV/0!</v>
      </c>
      <c r="Q15" s="172">
        <v>2</v>
      </c>
      <c r="R15" s="171">
        <v>0.2</v>
      </c>
      <c r="S15" s="171">
        <v>0.05</v>
      </c>
      <c r="T15" s="175" t="e">
        <f>2*(((Q4+U7)*($I$4/$I$6))^2)</f>
        <v>#DIV/0!</v>
      </c>
      <c r="BW15" s="111"/>
      <c r="BX15" s="111"/>
      <c r="CA15"/>
      <c r="CB15"/>
    </row>
    <row r="16" spans="1:81" x14ac:dyDescent="0.4">
      <c r="A16" s="27" t="s">
        <v>11</v>
      </c>
      <c r="B16" s="210"/>
      <c r="C16" s="5" t="s">
        <v>21</v>
      </c>
      <c r="D16" s="210"/>
      <c r="E16" s="8"/>
      <c r="F16" s="2"/>
      <c r="G16" s="27" t="s">
        <v>11</v>
      </c>
      <c r="H16" s="255"/>
      <c r="I16" s="5" t="s">
        <v>21</v>
      </c>
      <c r="J16" s="255"/>
      <c r="M16" s="172">
        <v>1</v>
      </c>
      <c r="N16" s="171">
        <v>0.2</v>
      </c>
      <c r="O16" s="171">
        <v>2.5000000000000001E-2</v>
      </c>
      <c r="P16" s="175" t="e">
        <f>2*(((O4+U8)*($I$4/$I$6))^2)</f>
        <v>#DIV/0!</v>
      </c>
      <c r="Q16" s="172">
        <v>2</v>
      </c>
      <c r="R16" s="171">
        <v>0.2</v>
      </c>
      <c r="S16" s="171">
        <v>2.5000000000000001E-2</v>
      </c>
      <c r="T16" s="175" t="e">
        <f>2*(((Q4+U8)*($I$4/$I$6))^2)</f>
        <v>#DIV/0!</v>
      </c>
      <c r="BW16" s="111"/>
      <c r="BX16" s="111"/>
      <c r="CA16"/>
      <c r="CB16"/>
    </row>
    <row r="17" spans="1:80" x14ac:dyDescent="0.4">
      <c r="A17" s="27" t="s">
        <v>12</v>
      </c>
      <c r="B17" s="210"/>
      <c r="C17" s="5" t="s">
        <v>22</v>
      </c>
      <c r="D17" s="210"/>
      <c r="E17" s="8"/>
      <c r="F17" s="2"/>
      <c r="G17" s="27" t="s">
        <v>12</v>
      </c>
      <c r="H17" s="255"/>
      <c r="I17" s="5" t="s">
        <v>22</v>
      </c>
      <c r="J17" s="255"/>
      <c r="M17" s="172">
        <v>1</v>
      </c>
      <c r="N17" s="171">
        <v>0.2</v>
      </c>
      <c r="O17" s="171">
        <v>0.01</v>
      </c>
      <c r="P17" s="175" t="e">
        <f>2*(((O4+U9)*($I$4/$I$6))^2)</f>
        <v>#DIV/0!</v>
      </c>
      <c r="Q17" s="172">
        <v>2</v>
      </c>
      <c r="R17" s="171">
        <v>0.2</v>
      </c>
      <c r="S17" s="171">
        <v>0.01</v>
      </c>
      <c r="T17" s="175" t="e">
        <f>2*(((Q4+U9)*($I$4/$I$6))^2)</f>
        <v>#DIV/0!</v>
      </c>
      <c r="BW17" s="111"/>
      <c r="BX17" s="111"/>
      <c r="CA17"/>
      <c r="CB17"/>
    </row>
    <row r="18" spans="1:80" x14ac:dyDescent="0.4">
      <c r="A18" s="27" t="s">
        <v>13</v>
      </c>
      <c r="B18" s="210"/>
      <c r="C18" s="5" t="s">
        <v>23</v>
      </c>
      <c r="D18" s="255"/>
      <c r="E18" s="8"/>
      <c r="F18" s="2"/>
      <c r="G18" s="27" t="s">
        <v>13</v>
      </c>
      <c r="H18" s="255"/>
      <c r="I18" s="5" t="s">
        <v>23</v>
      </c>
      <c r="J18" s="255"/>
      <c r="M18" s="172">
        <v>1</v>
      </c>
      <c r="N18" s="171">
        <v>0.15</v>
      </c>
      <c r="O18" s="171">
        <v>0.2</v>
      </c>
      <c r="P18" s="175" t="e">
        <f>2*(((O5+U4)*($I$4/$I$6))^2)</f>
        <v>#DIV/0!</v>
      </c>
      <c r="Q18" s="172">
        <v>2</v>
      </c>
      <c r="R18" s="171">
        <v>0.15</v>
      </c>
      <c r="S18" s="171">
        <v>0.2</v>
      </c>
      <c r="T18" s="175" t="e">
        <f>2*(((Q5+U4)*($I$4/$I$6))^2)</f>
        <v>#DIV/0!</v>
      </c>
      <c r="BW18" s="111"/>
      <c r="BX18" s="111"/>
      <c r="CA18"/>
      <c r="CB18"/>
    </row>
    <row r="19" spans="1:80" x14ac:dyDescent="0.4">
      <c r="A19" s="27" t="s">
        <v>14</v>
      </c>
      <c r="B19" s="255"/>
      <c r="C19" s="5" t="s">
        <v>24</v>
      </c>
      <c r="D19" s="255"/>
      <c r="E19" s="8"/>
      <c r="F19" s="2"/>
      <c r="G19" s="27" t="s">
        <v>14</v>
      </c>
      <c r="H19" s="255"/>
      <c r="I19" s="5" t="s">
        <v>24</v>
      </c>
      <c r="J19" s="255"/>
      <c r="M19" s="172">
        <v>1</v>
      </c>
      <c r="N19" s="171">
        <v>0.15</v>
      </c>
      <c r="O19" s="171">
        <v>0.15</v>
      </c>
      <c r="P19" s="175" t="e">
        <f>2*(((O5+U5)*($I$4/$I$6))^2)</f>
        <v>#DIV/0!</v>
      </c>
      <c r="Q19" s="172">
        <v>2</v>
      </c>
      <c r="R19" s="171">
        <v>0.15</v>
      </c>
      <c r="S19" s="171">
        <v>0.15</v>
      </c>
      <c r="T19" s="175" t="e">
        <f>2*(((Q5+U5)*($I$4/$I$6))^2)</f>
        <v>#DIV/0!</v>
      </c>
      <c r="BW19" s="111"/>
      <c r="BX19" s="111"/>
      <c r="CA19"/>
      <c r="CB19"/>
    </row>
    <row r="20" spans="1:80" x14ac:dyDescent="0.4">
      <c r="A20" s="27" t="s">
        <v>15</v>
      </c>
      <c r="B20" s="255"/>
      <c r="C20" s="5" t="s">
        <v>25</v>
      </c>
      <c r="D20" s="255"/>
      <c r="E20" s="8"/>
      <c r="F20" s="2"/>
      <c r="G20" s="27" t="s">
        <v>15</v>
      </c>
      <c r="H20" s="255"/>
      <c r="I20" s="5" t="s">
        <v>25</v>
      </c>
      <c r="J20" s="255"/>
      <c r="M20" s="172">
        <v>1</v>
      </c>
      <c r="N20" s="171">
        <v>0.15</v>
      </c>
      <c r="O20" s="171">
        <v>0.1</v>
      </c>
      <c r="P20" s="175" t="e">
        <f>2*(((O5+U6)*($I$4/$I$6))^2)</f>
        <v>#DIV/0!</v>
      </c>
      <c r="Q20" s="172">
        <v>2</v>
      </c>
      <c r="R20" s="171">
        <v>0.15</v>
      </c>
      <c r="S20" s="171">
        <v>0.1</v>
      </c>
      <c r="T20" s="175" t="e">
        <f>2*(((Q5+U6)*($I$4/$I$6))^2)</f>
        <v>#DIV/0!</v>
      </c>
      <c r="BW20" s="111"/>
      <c r="BX20" s="111"/>
      <c r="CA20"/>
      <c r="CB20"/>
    </row>
    <row r="21" spans="1:80" x14ac:dyDescent="0.4">
      <c r="A21" s="27" t="s">
        <v>16</v>
      </c>
      <c r="B21" s="255"/>
      <c r="C21" s="5" t="s">
        <v>26</v>
      </c>
      <c r="D21" s="255"/>
      <c r="E21" s="8"/>
      <c r="F21" s="2"/>
      <c r="G21" s="27" t="s">
        <v>16</v>
      </c>
      <c r="H21" s="255"/>
      <c r="I21" s="5" t="s">
        <v>26</v>
      </c>
      <c r="J21" s="255"/>
      <c r="M21" s="172">
        <v>1</v>
      </c>
      <c r="N21" s="171">
        <v>0.15</v>
      </c>
      <c r="O21" s="171">
        <v>0.05</v>
      </c>
      <c r="P21" s="175" t="e">
        <f>2*(((O5+U7)*($I$4/$I$6))^2)</f>
        <v>#DIV/0!</v>
      </c>
      <c r="Q21" s="172">
        <v>2</v>
      </c>
      <c r="R21" s="171">
        <v>0.15</v>
      </c>
      <c r="S21" s="171">
        <v>0.05</v>
      </c>
      <c r="T21" s="175" t="e">
        <f>2*(((Q5+U7)*($I$4/$I$6))^2)</f>
        <v>#DIV/0!</v>
      </c>
      <c r="BW21" s="111"/>
      <c r="BX21" s="111"/>
      <c r="CA21"/>
      <c r="CB21"/>
    </row>
    <row r="22" spans="1:80" x14ac:dyDescent="0.4">
      <c r="A22" s="27" t="s">
        <v>17</v>
      </c>
      <c r="B22" s="255"/>
      <c r="C22" s="5" t="s">
        <v>27</v>
      </c>
      <c r="D22" s="255"/>
      <c r="E22" s="8"/>
      <c r="F22" s="2"/>
      <c r="G22" s="27" t="s">
        <v>17</v>
      </c>
      <c r="H22" s="255"/>
      <c r="I22" s="5" t="s">
        <v>27</v>
      </c>
      <c r="J22" s="255"/>
      <c r="M22" s="172">
        <v>1</v>
      </c>
      <c r="N22" s="171">
        <v>0.15</v>
      </c>
      <c r="O22" s="171">
        <v>2.5000000000000001E-2</v>
      </c>
      <c r="P22" s="175" t="e">
        <f>2*(((O5+U8)*($I$4/$I$6))^2)</f>
        <v>#DIV/0!</v>
      </c>
      <c r="Q22" s="172">
        <v>2</v>
      </c>
      <c r="R22" s="171">
        <v>0.15</v>
      </c>
      <c r="S22" s="171">
        <v>2.5000000000000001E-2</v>
      </c>
      <c r="T22" s="175" t="e">
        <f>2*(((Q5+U8)*($I$4/$I$6))^2)</f>
        <v>#DIV/0!</v>
      </c>
      <c r="BW22" s="111"/>
      <c r="BX22" s="111"/>
      <c r="CA22"/>
      <c r="CB22"/>
    </row>
    <row r="23" spans="1:80" x14ac:dyDescent="0.4">
      <c r="A23" s="27" t="s">
        <v>18</v>
      </c>
      <c r="B23" s="255"/>
      <c r="C23" s="5" t="s">
        <v>28</v>
      </c>
      <c r="D23" s="255"/>
      <c r="E23" s="8"/>
      <c r="F23" s="2"/>
      <c r="G23" s="27" t="s">
        <v>18</v>
      </c>
      <c r="H23" s="255"/>
      <c r="I23" s="5" t="s">
        <v>28</v>
      </c>
      <c r="J23" s="255"/>
      <c r="M23" s="172">
        <v>1</v>
      </c>
      <c r="N23" s="171">
        <v>0.15</v>
      </c>
      <c r="O23" s="171">
        <v>0.01</v>
      </c>
      <c r="P23" s="175" t="e">
        <f>2*(((O5+U9)*($I$4/$I$6))^2)</f>
        <v>#DIV/0!</v>
      </c>
      <c r="Q23" s="172">
        <v>2</v>
      </c>
      <c r="R23" s="171">
        <v>0.15</v>
      </c>
      <c r="S23" s="171">
        <v>0.01</v>
      </c>
      <c r="T23" s="175" t="e">
        <f>2*(((Q5+U9)*($I$4/$I$6))^2)</f>
        <v>#DIV/0!</v>
      </c>
      <c r="BW23" s="111"/>
      <c r="BX23" s="111"/>
      <c r="CA23"/>
      <c r="CB23"/>
    </row>
    <row r="24" spans="1:80" x14ac:dyDescent="0.4">
      <c r="A24" s="27" t="s">
        <v>44</v>
      </c>
      <c r="B24" s="255"/>
      <c r="C24" s="5" t="s">
        <v>54</v>
      </c>
      <c r="D24" s="255"/>
      <c r="E24" s="8"/>
      <c r="F24" s="2"/>
      <c r="G24" s="27" t="s">
        <v>44</v>
      </c>
      <c r="H24" s="255"/>
      <c r="I24" s="5" t="s">
        <v>54</v>
      </c>
      <c r="J24" s="255"/>
      <c r="M24" s="172">
        <v>1</v>
      </c>
      <c r="N24" s="173">
        <v>0.1</v>
      </c>
      <c r="O24" s="171">
        <v>0.2</v>
      </c>
      <c r="P24" s="175" t="e">
        <f>2*(((O6+U4)*($I$4/$I$6))^2)</f>
        <v>#DIV/0!</v>
      </c>
      <c r="Q24" s="172">
        <v>2</v>
      </c>
      <c r="R24" s="173">
        <v>0.1</v>
      </c>
      <c r="S24" s="171">
        <v>0.2</v>
      </c>
      <c r="T24" s="175" t="e">
        <f>2*(((Q6+U4)*($I$4/$I$6))^2)</f>
        <v>#DIV/0!</v>
      </c>
      <c r="BW24" s="111"/>
      <c r="BX24" s="111"/>
      <c r="CA24"/>
      <c r="CB24"/>
    </row>
    <row r="25" spans="1:80" x14ac:dyDescent="0.4">
      <c r="A25" s="27" t="s">
        <v>45</v>
      </c>
      <c r="B25" s="255"/>
      <c r="C25" s="5" t="s">
        <v>55</v>
      </c>
      <c r="D25" s="255"/>
      <c r="E25" s="8"/>
      <c r="F25" s="2"/>
      <c r="G25" s="27" t="s">
        <v>45</v>
      </c>
      <c r="H25" s="255"/>
      <c r="I25" s="5" t="s">
        <v>55</v>
      </c>
      <c r="J25" s="255"/>
      <c r="M25" s="172">
        <v>1</v>
      </c>
      <c r="N25" s="173">
        <v>0.1</v>
      </c>
      <c r="O25" s="171">
        <v>0.15</v>
      </c>
      <c r="P25" s="175" t="e">
        <f>2*(((O6+U5)*($I$4/$I$6))^2)</f>
        <v>#DIV/0!</v>
      </c>
      <c r="Q25" s="172">
        <v>2</v>
      </c>
      <c r="R25" s="173">
        <v>0.1</v>
      </c>
      <c r="S25" s="171">
        <v>0.15</v>
      </c>
      <c r="T25" s="175" t="e">
        <f>2*(((Q6+U5)*($I$4/$I$6))^2)</f>
        <v>#DIV/0!</v>
      </c>
      <c r="BW25" s="111"/>
      <c r="BX25" s="111"/>
      <c r="CA25"/>
      <c r="CB25"/>
    </row>
    <row r="26" spans="1:80" x14ac:dyDescent="0.4">
      <c r="A26" s="27" t="s">
        <v>46</v>
      </c>
      <c r="B26" s="255"/>
      <c r="C26" s="5" t="s">
        <v>56</v>
      </c>
      <c r="D26" s="255"/>
      <c r="E26" s="8"/>
      <c r="F26" s="2"/>
      <c r="G26" s="27" t="s">
        <v>46</v>
      </c>
      <c r="H26" s="255"/>
      <c r="I26" s="5" t="s">
        <v>56</v>
      </c>
      <c r="J26" s="255"/>
      <c r="M26" s="172">
        <v>1</v>
      </c>
      <c r="N26" s="173">
        <v>0.1</v>
      </c>
      <c r="O26" s="171">
        <v>0.1</v>
      </c>
      <c r="P26" s="175" t="e">
        <f>2*(((O6+U6)*($I$4/$I$6))^2)</f>
        <v>#DIV/0!</v>
      </c>
      <c r="Q26" s="172">
        <v>2</v>
      </c>
      <c r="R26" s="173">
        <v>0.1</v>
      </c>
      <c r="S26" s="171">
        <v>0.1</v>
      </c>
      <c r="T26" s="175" t="e">
        <f>2*(((Q6+U6)*($I$4/$I$6))^2)</f>
        <v>#DIV/0!</v>
      </c>
      <c r="BW26" s="111"/>
      <c r="BX26" s="111"/>
      <c r="CA26"/>
      <c r="CB26"/>
    </row>
    <row r="27" spans="1:80" x14ac:dyDescent="0.4">
      <c r="A27" s="27" t="s">
        <v>47</v>
      </c>
      <c r="B27" s="255"/>
      <c r="C27" s="5" t="s">
        <v>57</v>
      </c>
      <c r="D27" s="255"/>
      <c r="E27" s="8"/>
      <c r="F27" s="2"/>
      <c r="G27" s="27" t="s">
        <v>47</v>
      </c>
      <c r="H27" s="255"/>
      <c r="I27" s="5" t="s">
        <v>57</v>
      </c>
      <c r="J27" s="255"/>
      <c r="M27" s="172">
        <v>1</v>
      </c>
      <c r="N27" s="173">
        <v>0.1</v>
      </c>
      <c r="O27" s="171">
        <v>0.05</v>
      </c>
      <c r="P27" s="175" t="e">
        <f>2*(((O6+U7)*($I$4/$I$6))^2)</f>
        <v>#DIV/0!</v>
      </c>
      <c r="Q27" s="172">
        <v>2</v>
      </c>
      <c r="R27" s="173">
        <v>0.1</v>
      </c>
      <c r="S27" s="171">
        <v>0.05</v>
      </c>
      <c r="T27" s="175" t="e">
        <f>2*(((Q6+U7)*($I$4/$I$6))^2)</f>
        <v>#DIV/0!</v>
      </c>
      <c r="BW27" s="111"/>
      <c r="BX27" s="111"/>
      <c r="CA27"/>
      <c r="CB27"/>
    </row>
    <row r="28" spans="1:80" x14ac:dyDescent="0.4">
      <c r="A28" s="27" t="s">
        <v>48</v>
      </c>
      <c r="B28" s="255"/>
      <c r="C28" s="5" t="s">
        <v>58</v>
      </c>
      <c r="D28" s="255"/>
      <c r="E28" s="8"/>
      <c r="F28" s="2"/>
      <c r="G28" s="27" t="s">
        <v>48</v>
      </c>
      <c r="H28" s="255"/>
      <c r="I28" s="5" t="s">
        <v>58</v>
      </c>
      <c r="J28" s="255"/>
      <c r="M28" s="172">
        <v>1</v>
      </c>
      <c r="N28" s="173">
        <v>0.1</v>
      </c>
      <c r="O28" s="171">
        <v>2.5000000000000001E-2</v>
      </c>
      <c r="P28" s="175" t="e">
        <f>2*(((O6+U8)*($I$4/$I$6))^2)</f>
        <v>#DIV/0!</v>
      </c>
      <c r="Q28" s="172">
        <v>2</v>
      </c>
      <c r="R28" s="173">
        <v>0.1</v>
      </c>
      <c r="S28" s="171">
        <v>2.5000000000000001E-2</v>
      </c>
      <c r="T28" s="175" t="e">
        <f>2*(((Q6+U8)*($I$4/$I$6))^2)</f>
        <v>#DIV/0!</v>
      </c>
      <c r="BW28" s="111"/>
      <c r="BX28" s="111"/>
      <c r="CA28"/>
      <c r="CB28"/>
    </row>
    <row r="29" spans="1:80" x14ac:dyDescent="0.4">
      <c r="A29" s="27" t="s">
        <v>49</v>
      </c>
      <c r="B29" s="255"/>
      <c r="C29" s="5" t="s">
        <v>59</v>
      </c>
      <c r="D29" s="255"/>
      <c r="E29" s="8"/>
      <c r="F29" s="2"/>
      <c r="G29" s="27" t="s">
        <v>49</v>
      </c>
      <c r="H29" s="255"/>
      <c r="I29" s="5" t="s">
        <v>59</v>
      </c>
      <c r="J29" s="255"/>
      <c r="M29" s="172">
        <v>1</v>
      </c>
      <c r="N29" s="173">
        <v>0.1</v>
      </c>
      <c r="O29" s="171">
        <v>0.01</v>
      </c>
      <c r="P29" s="175" t="e">
        <f>2*(((O6+U9)*($I$4/$I$6))^2)</f>
        <v>#DIV/0!</v>
      </c>
      <c r="Q29" s="172">
        <v>2</v>
      </c>
      <c r="R29" s="173">
        <v>0.1</v>
      </c>
      <c r="S29" s="171">
        <v>0.01</v>
      </c>
      <c r="T29" s="175" t="e">
        <f>2*(((Q6+U9)*($I$4/$I$6))^2)</f>
        <v>#DIV/0!</v>
      </c>
      <c r="BW29" s="111"/>
      <c r="BX29" s="111"/>
      <c r="CA29"/>
      <c r="CB29"/>
    </row>
    <row r="30" spans="1:80" x14ac:dyDescent="0.4">
      <c r="A30" s="27" t="s">
        <v>50</v>
      </c>
      <c r="B30" s="255"/>
      <c r="C30" s="5" t="s">
        <v>60</v>
      </c>
      <c r="D30" s="255"/>
      <c r="E30" s="8"/>
      <c r="F30" s="2"/>
      <c r="G30" s="27" t="s">
        <v>50</v>
      </c>
      <c r="H30" s="255"/>
      <c r="I30" s="5" t="s">
        <v>60</v>
      </c>
      <c r="J30" s="255"/>
      <c r="M30" s="172">
        <v>1</v>
      </c>
      <c r="N30" s="173">
        <v>0.05</v>
      </c>
      <c r="O30" s="171">
        <v>0.2</v>
      </c>
      <c r="P30" s="175" t="e">
        <f>2*(((O7+U4)*($I$4/$I$6))^2)</f>
        <v>#DIV/0!</v>
      </c>
      <c r="Q30" s="172">
        <v>2</v>
      </c>
      <c r="R30" s="173">
        <v>0.05</v>
      </c>
      <c r="S30" s="171">
        <v>0.2</v>
      </c>
      <c r="T30" s="175" t="e">
        <f>2*(((Q7+U4)*($I$4/$I$6))^2)</f>
        <v>#DIV/0!</v>
      </c>
      <c r="BW30" s="111"/>
      <c r="BX30" s="111"/>
      <c r="CA30"/>
      <c r="CB30"/>
    </row>
    <row r="31" spans="1:80" x14ac:dyDescent="0.4">
      <c r="A31" s="27" t="s">
        <v>51</v>
      </c>
      <c r="B31" s="255"/>
      <c r="C31" s="5" t="s">
        <v>61</v>
      </c>
      <c r="D31" s="255"/>
      <c r="E31" s="8"/>
      <c r="F31" s="2"/>
      <c r="G31" s="27" t="s">
        <v>51</v>
      </c>
      <c r="H31" s="255"/>
      <c r="I31" s="5" t="s">
        <v>61</v>
      </c>
      <c r="J31" s="255"/>
      <c r="M31" s="172">
        <v>1</v>
      </c>
      <c r="N31" s="173">
        <v>0.05</v>
      </c>
      <c r="O31" s="171">
        <v>0.15</v>
      </c>
      <c r="P31" s="175" t="e">
        <f>2*(((O7+U5)*($I$4/$I$6))^2)</f>
        <v>#DIV/0!</v>
      </c>
      <c r="Q31" s="172">
        <v>2</v>
      </c>
      <c r="R31" s="173">
        <v>0.05</v>
      </c>
      <c r="S31" s="171">
        <v>0.15</v>
      </c>
      <c r="T31" s="175" t="e">
        <f>2*(((Q7+U5)*($I$4/$I$6))^2)</f>
        <v>#DIV/0!</v>
      </c>
      <c r="BW31" s="111"/>
      <c r="BX31" s="111"/>
      <c r="CA31"/>
      <c r="CB31"/>
    </row>
    <row r="32" spans="1:80" x14ac:dyDescent="0.4">
      <c r="A32" s="27" t="s">
        <v>52</v>
      </c>
      <c r="B32" s="255"/>
      <c r="C32" s="5" t="s">
        <v>62</v>
      </c>
      <c r="D32" s="255"/>
      <c r="E32" s="8"/>
      <c r="F32" s="2"/>
      <c r="G32" s="27" t="s">
        <v>52</v>
      </c>
      <c r="H32" s="255"/>
      <c r="I32" s="5" t="s">
        <v>62</v>
      </c>
      <c r="J32" s="255"/>
      <c r="L32" s="12"/>
      <c r="M32" s="172">
        <v>1</v>
      </c>
      <c r="N32" s="173">
        <v>0.05</v>
      </c>
      <c r="O32" s="171">
        <v>0.1</v>
      </c>
      <c r="P32" s="175" t="e">
        <f>2*(((O7+U6)*($I$4/$I$6))^2)</f>
        <v>#DIV/0!</v>
      </c>
      <c r="Q32" s="172">
        <v>2</v>
      </c>
      <c r="R32" s="173">
        <v>0.05</v>
      </c>
      <c r="S32" s="171">
        <v>0.1</v>
      </c>
      <c r="T32" s="175" t="e">
        <f>2*(((Q7+U6)*($I$4/$I$6))^2)</f>
        <v>#DIV/0!</v>
      </c>
      <c r="BW32" s="111"/>
      <c r="BX32" s="111"/>
      <c r="CA32"/>
      <c r="CB32"/>
    </row>
    <row r="33" spans="1:80" x14ac:dyDescent="0.4">
      <c r="A33" s="27" t="s">
        <v>53</v>
      </c>
      <c r="B33" s="255"/>
      <c r="C33" s="5" t="s">
        <v>63</v>
      </c>
      <c r="D33" s="255"/>
      <c r="E33" s="2"/>
      <c r="F33" s="18"/>
      <c r="G33" s="27" t="s">
        <v>53</v>
      </c>
      <c r="H33" s="255"/>
      <c r="I33" s="5" t="s">
        <v>63</v>
      </c>
      <c r="J33" s="255"/>
      <c r="L33" s="12"/>
      <c r="M33" s="174">
        <v>1</v>
      </c>
      <c r="N33" s="173">
        <v>0.05</v>
      </c>
      <c r="O33" s="171">
        <v>0.05</v>
      </c>
      <c r="P33" s="175" t="e">
        <f>2*(((O7+U7)*($I$4/$I$6))^2)</f>
        <v>#DIV/0!</v>
      </c>
      <c r="Q33" s="174">
        <v>2</v>
      </c>
      <c r="R33" s="173">
        <v>0.05</v>
      </c>
      <c r="S33" s="171">
        <v>0.05</v>
      </c>
      <c r="T33" s="175" t="e">
        <f>2*(((Q7+U7)*($I$4/$I$6))^2)</f>
        <v>#DIV/0!</v>
      </c>
      <c r="BW33" s="111"/>
      <c r="BX33" s="111"/>
      <c r="CA33"/>
      <c r="CB33"/>
    </row>
    <row r="34" spans="1:80" x14ac:dyDescent="0.4">
      <c r="A34" s="2" t="s">
        <v>6</v>
      </c>
      <c r="B34" s="2">
        <f>COUNT($B$14:$B$33)</f>
        <v>0</v>
      </c>
      <c r="C34" s="2"/>
      <c r="D34" s="2">
        <f>COUNT($D$14:$D$33)</f>
        <v>0</v>
      </c>
      <c r="E34" s="2"/>
      <c r="F34" s="19"/>
      <c r="G34" s="2" t="s">
        <v>6</v>
      </c>
      <c r="H34" s="2">
        <f>COUNT($H$14:$H$33)</f>
        <v>0</v>
      </c>
      <c r="I34" s="2"/>
      <c r="J34" s="2">
        <f>COUNT($J$14:$J$33)</f>
        <v>0</v>
      </c>
      <c r="M34" s="172">
        <v>1</v>
      </c>
      <c r="N34" s="173">
        <v>0.05</v>
      </c>
      <c r="O34" s="171">
        <v>2.5000000000000001E-2</v>
      </c>
      <c r="P34" s="175" t="e">
        <f>2*(((O7+U8)*($I$4/$I$6))^2)</f>
        <v>#DIV/0!</v>
      </c>
      <c r="Q34" s="172">
        <v>2</v>
      </c>
      <c r="R34" s="173">
        <v>0.05</v>
      </c>
      <c r="S34" s="171">
        <v>2.5000000000000001E-2</v>
      </c>
      <c r="T34" s="175" t="e">
        <f>2*(((Q7+U8)*($I$4/$I$6))^2)</f>
        <v>#DIV/0!</v>
      </c>
      <c r="BW34" s="111"/>
      <c r="BX34" s="111"/>
      <c r="CA34"/>
      <c r="CB34"/>
    </row>
    <row r="35" spans="1:80" x14ac:dyDescent="0.4">
      <c r="A35" s="2" t="s">
        <v>1</v>
      </c>
      <c r="B35" s="13" t="e">
        <f>AVERAGE($B$14:$B$33)</f>
        <v>#DIV/0!</v>
      </c>
      <c r="C35" s="2"/>
      <c r="D35" s="13" t="e">
        <f>AVERAGE($D$14:$D$33)</f>
        <v>#DIV/0!</v>
      </c>
      <c r="E35" s="18"/>
      <c r="F35" s="13"/>
      <c r="G35" s="2" t="s">
        <v>1</v>
      </c>
      <c r="H35" s="29" t="e">
        <f>AVERAGE($H$14:$H$33)</f>
        <v>#DIV/0!</v>
      </c>
      <c r="I35" s="2"/>
      <c r="J35" s="2" t="e">
        <f>AVERAGE($J$14:$J$33)</f>
        <v>#DIV/0!</v>
      </c>
      <c r="M35" s="172">
        <v>1</v>
      </c>
      <c r="N35" s="173">
        <v>0.05</v>
      </c>
      <c r="O35" s="171">
        <v>0.01</v>
      </c>
      <c r="P35" s="175" t="e">
        <f>2*(((O7+U9)*($I$4/$I$6))^2)</f>
        <v>#DIV/0!</v>
      </c>
      <c r="Q35" s="172">
        <v>2</v>
      </c>
      <c r="R35" s="173">
        <v>0.05</v>
      </c>
      <c r="S35" s="171">
        <v>0.01</v>
      </c>
      <c r="T35" s="175" t="e">
        <f>2*(((Q7+U9)*($I$4/$I$6))^2)</f>
        <v>#DIV/0!</v>
      </c>
      <c r="BW35" s="111"/>
      <c r="BX35" s="111"/>
      <c r="CA35"/>
      <c r="CB35"/>
    </row>
    <row r="36" spans="1:80" x14ac:dyDescent="0.4">
      <c r="A36" s="2" t="s">
        <v>3</v>
      </c>
      <c r="B36" s="13" t="e">
        <f>STDEV($B$14:$B$33)</f>
        <v>#DIV/0!</v>
      </c>
      <c r="C36" s="18"/>
      <c r="D36" s="13" t="e">
        <f>STDEV($D$14:$D$33)</f>
        <v>#DIV/0!</v>
      </c>
      <c r="E36" s="19"/>
      <c r="F36" s="13"/>
      <c r="G36" s="2" t="s">
        <v>3</v>
      </c>
      <c r="H36" s="29" t="e">
        <f>STDEV($H$14:$H$33)</f>
        <v>#DIV/0!</v>
      </c>
      <c r="I36" s="18"/>
      <c r="J36" s="29" t="e">
        <f>STDEV($J$14:$J$33)</f>
        <v>#DIV/0!</v>
      </c>
      <c r="M36" s="172">
        <v>1</v>
      </c>
      <c r="N36" s="173">
        <v>2.5000000000000001E-2</v>
      </c>
      <c r="O36" s="171">
        <v>0.2</v>
      </c>
      <c r="P36" s="175" t="e">
        <f>2*(((O8+U4)*($I$4/$I$6))^2)</f>
        <v>#DIV/0!</v>
      </c>
      <c r="Q36" s="172">
        <v>2</v>
      </c>
      <c r="R36" s="173">
        <v>2.5000000000000001E-2</v>
      </c>
      <c r="S36" s="171">
        <v>0.2</v>
      </c>
      <c r="T36" s="175" t="e">
        <f>2*(((Q8+U4)*($I$4/$I$6))^2)</f>
        <v>#DIV/0!</v>
      </c>
      <c r="BW36" s="111"/>
      <c r="BX36" s="111"/>
      <c r="CA36"/>
      <c r="CB36"/>
    </row>
    <row r="37" spans="1:80" x14ac:dyDescent="0.4">
      <c r="A37" s="2" t="s">
        <v>0</v>
      </c>
      <c r="B37" s="19" t="e">
        <f>$B$36/$B$35</f>
        <v>#DIV/0!</v>
      </c>
      <c r="C37" s="19"/>
      <c r="D37" s="19" t="e">
        <f>$D$36/$D$35</f>
        <v>#DIV/0!</v>
      </c>
      <c r="E37" s="23"/>
      <c r="G37" s="2" t="s">
        <v>0</v>
      </c>
      <c r="H37" s="19" t="e">
        <f>$H$36/$H$35</f>
        <v>#DIV/0!</v>
      </c>
      <c r="I37" s="19"/>
      <c r="J37" s="19" t="e">
        <f>$J$36/$J$35</f>
        <v>#DIV/0!</v>
      </c>
      <c r="M37" s="172">
        <v>1</v>
      </c>
      <c r="N37" s="173">
        <v>2.5000000000000001E-2</v>
      </c>
      <c r="O37" s="171">
        <v>0.15</v>
      </c>
      <c r="P37" s="175" t="e">
        <f>2*(((O8+U5)*($I$4/$I$6))^2)</f>
        <v>#DIV/0!</v>
      </c>
      <c r="Q37" s="172">
        <v>2</v>
      </c>
      <c r="R37" s="173">
        <v>2.5000000000000001E-2</v>
      </c>
      <c r="S37" s="171">
        <v>0.15</v>
      </c>
      <c r="T37" s="175" t="e">
        <f>2*(((Q8+U5)*($I$4/$I$6))^2)</f>
        <v>#DIV/0!</v>
      </c>
      <c r="BW37" s="111"/>
      <c r="BX37" s="111"/>
      <c r="CA37"/>
      <c r="CB37"/>
    </row>
    <row r="38" spans="1:80" x14ac:dyDescent="0.4">
      <c r="A38" s="156" t="s">
        <v>177</v>
      </c>
      <c r="B38" s="19"/>
      <c r="C38" s="19"/>
      <c r="D38" s="23" t="e">
        <f>_xlfn.T.TEST($B$14:$B$33,$D$14:$D$33,1,2)</f>
        <v>#DIV/0!</v>
      </c>
      <c r="E38" s="23"/>
      <c r="G38" s="156" t="s">
        <v>177</v>
      </c>
      <c r="H38" s="19"/>
      <c r="I38" s="19"/>
      <c r="J38" s="23" t="e">
        <f>_xlfn.T.TEST($H$14:$H$33,$J$14:$J$33,1,2)</f>
        <v>#DIV/0!</v>
      </c>
      <c r="M38" s="172">
        <v>1</v>
      </c>
      <c r="N38" s="173">
        <v>2.5000000000000001E-2</v>
      </c>
      <c r="O38" s="171">
        <v>0.1</v>
      </c>
      <c r="P38" s="175" t="e">
        <f>2*(((O8+U6)*($I$4/$I$6))^2)</f>
        <v>#DIV/0!</v>
      </c>
      <c r="Q38" s="172">
        <v>2</v>
      </c>
      <c r="R38" s="173">
        <v>2.5000000000000001E-2</v>
      </c>
      <c r="S38" s="171">
        <v>0.1</v>
      </c>
      <c r="T38" s="175" t="e">
        <f>2*(((Q8+U6)*($I$4/$I$6))^2)</f>
        <v>#DIV/0!</v>
      </c>
      <c r="BW38" s="111"/>
      <c r="BX38" s="111"/>
      <c r="CA38"/>
      <c r="CB38"/>
    </row>
    <row r="39" spans="1:80" x14ac:dyDescent="0.4">
      <c r="A39" s="156" t="s">
        <v>159</v>
      </c>
      <c r="B39" s="23"/>
      <c r="C39" s="23"/>
      <c r="D39" s="23" t="e">
        <f>_xlfn.T.TEST($B$14:$B$33,$D$14:$D$33,2,2)</f>
        <v>#DIV/0!</v>
      </c>
      <c r="E39" s="23"/>
      <c r="G39" s="156" t="s">
        <v>159</v>
      </c>
      <c r="H39" s="23"/>
      <c r="I39" s="23"/>
      <c r="J39" s="23" t="e">
        <f>_xlfn.T.TEST($H$14:$H$33,$J$14:$J$33,2,2)</f>
        <v>#DIV/0!</v>
      </c>
      <c r="M39" s="172">
        <v>1</v>
      </c>
      <c r="N39" s="173">
        <v>2.5000000000000001E-2</v>
      </c>
      <c r="O39" s="171">
        <v>0.05</v>
      </c>
      <c r="P39" s="175" t="e">
        <f>2*(((O8+U7)*($I$4/$I$6))^2)</f>
        <v>#DIV/0!</v>
      </c>
      <c r="Q39" s="172">
        <v>2</v>
      </c>
      <c r="R39" s="173">
        <v>2.5000000000000001E-2</v>
      </c>
      <c r="S39" s="171">
        <v>0.05</v>
      </c>
      <c r="T39" s="175" t="e">
        <f>2*(((Q8+U7)*($I$4/$I$6))^2)</f>
        <v>#DIV/0!</v>
      </c>
      <c r="BW39" s="111"/>
      <c r="BX39" s="111"/>
      <c r="CA39"/>
      <c r="CB39"/>
    </row>
    <row r="40" spans="1:80" x14ac:dyDescent="0.4">
      <c r="A40" s="6"/>
      <c r="B40" s="23"/>
      <c r="C40" s="23"/>
      <c r="E40" s="23"/>
      <c r="G40" s="3"/>
      <c r="H40" s="13"/>
      <c r="I40" s="13"/>
      <c r="J40" s="13"/>
      <c r="M40" s="172">
        <v>1</v>
      </c>
      <c r="N40" s="173">
        <v>2.5000000000000001E-2</v>
      </c>
      <c r="O40" s="171">
        <v>2.5000000000000001E-2</v>
      </c>
      <c r="P40" s="175" t="e">
        <f>2*(((O8+U8)*($I$4/$I$6))^2)</f>
        <v>#DIV/0!</v>
      </c>
      <c r="Q40" s="172">
        <v>2</v>
      </c>
      <c r="R40" s="173">
        <v>2.5000000000000001E-2</v>
      </c>
      <c r="S40" s="171">
        <v>2.5000000000000001E-2</v>
      </c>
      <c r="T40" s="175" t="e">
        <f>2*(((Q8+U8)*($I$4/$I$6))^2)</f>
        <v>#DIV/0!</v>
      </c>
      <c r="BW40" s="111"/>
      <c r="BX40" s="111"/>
      <c r="CA40"/>
      <c r="CB40"/>
    </row>
    <row r="41" spans="1:80" x14ac:dyDescent="0.4">
      <c r="A41" t="s">
        <v>29</v>
      </c>
      <c r="E41" s="29" t="e">
        <f>$D$35-$B$35</f>
        <v>#DIV/0!</v>
      </c>
      <c r="G41" t="s">
        <v>29</v>
      </c>
      <c r="K41" s="29" t="e">
        <f>$J$35-$H$35</f>
        <v>#DIV/0!</v>
      </c>
      <c r="M41" s="172">
        <v>1</v>
      </c>
      <c r="N41" s="173">
        <v>2.5000000000000001E-2</v>
      </c>
      <c r="O41" s="171">
        <v>0.01</v>
      </c>
      <c r="P41" s="175" t="e">
        <f>2*(((O8+U9)*($I$4/$I$6))^2)</f>
        <v>#DIV/0!</v>
      </c>
      <c r="Q41" s="172">
        <v>2</v>
      </c>
      <c r="R41" s="173">
        <v>2.5000000000000001E-2</v>
      </c>
      <c r="S41" s="171">
        <v>0.01</v>
      </c>
      <c r="T41" s="175" t="e">
        <f>2*(((Q8+U9)*($I$4/$I$6))^2)</f>
        <v>#DIV/0!</v>
      </c>
      <c r="BW41" s="111"/>
      <c r="BX41" s="111"/>
      <c r="CA41"/>
      <c r="CB41"/>
    </row>
    <row r="42" spans="1:80" x14ac:dyDescent="0.4">
      <c r="A42" s="49" t="s">
        <v>129</v>
      </c>
      <c r="E42" s="122" t="e">
        <f>$E$41/$B$35</f>
        <v>#DIV/0!</v>
      </c>
      <c r="G42" s="49" t="s">
        <v>129</v>
      </c>
      <c r="K42" s="122" t="e">
        <f>$K$41/$H$35</f>
        <v>#DIV/0!</v>
      </c>
      <c r="M42" s="172">
        <v>1</v>
      </c>
      <c r="N42" s="173">
        <v>0.01</v>
      </c>
      <c r="O42" s="171">
        <v>0.2</v>
      </c>
      <c r="P42" s="175" t="e">
        <f>2*(((O9+U4)*($I$4/$I$6))^2)</f>
        <v>#DIV/0!</v>
      </c>
      <c r="Q42" s="172">
        <v>2</v>
      </c>
      <c r="R42" s="173">
        <v>0.01</v>
      </c>
      <c r="S42" s="171">
        <v>0.2</v>
      </c>
      <c r="T42" s="175" t="e">
        <f>2*(((Q9+U4)*($I$4/$I$6))^2)</f>
        <v>#DIV/0!</v>
      </c>
      <c r="BW42" s="111"/>
      <c r="BX42" s="111"/>
      <c r="CA42"/>
      <c r="CB42"/>
    </row>
    <row r="43" spans="1:80" x14ac:dyDescent="0.4">
      <c r="A43" s="49" t="s">
        <v>117</v>
      </c>
      <c r="E43" s="18" t="e">
        <f>$E$41+$O$55</f>
        <v>#DIV/0!</v>
      </c>
      <c r="F43" s="1"/>
      <c r="G43" s="49" t="s">
        <v>117</v>
      </c>
      <c r="K43" s="18" t="e">
        <f>$K$41+$O$62</f>
        <v>#DIV/0!</v>
      </c>
      <c r="M43" s="172">
        <v>1</v>
      </c>
      <c r="N43" s="173">
        <v>0.01</v>
      </c>
      <c r="O43" s="171">
        <v>0.15</v>
      </c>
      <c r="P43" s="175" t="e">
        <f>2*(((O9+U5)*($I$4/$I$6))^2)</f>
        <v>#DIV/0!</v>
      </c>
      <c r="Q43" s="172">
        <v>2</v>
      </c>
      <c r="R43" s="173">
        <v>0.01</v>
      </c>
      <c r="S43" s="171">
        <v>0.15</v>
      </c>
      <c r="T43" s="175" t="e">
        <f>2*(((Q9+U5)*($I$4/$I$6))^2)</f>
        <v>#DIV/0!</v>
      </c>
      <c r="V43" s="1"/>
      <c r="BW43" s="111"/>
      <c r="BX43" s="111"/>
      <c r="CA43"/>
      <c r="CB43"/>
    </row>
    <row r="44" spans="1:80" s="1" customFormat="1" x14ac:dyDescent="0.4">
      <c r="A44" s="49" t="s">
        <v>118</v>
      </c>
      <c r="B44"/>
      <c r="C44"/>
      <c r="D44"/>
      <c r="E44" s="18" t="e">
        <f>E41-O55</f>
        <v>#DIV/0!</v>
      </c>
      <c r="G44" s="49" t="s">
        <v>118</v>
      </c>
      <c r="H44"/>
      <c r="I44"/>
      <c r="J44"/>
      <c r="K44" s="18" t="e">
        <f>$K$41-$O$62</f>
        <v>#DIV/0!</v>
      </c>
      <c r="M44" s="172">
        <v>1</v>
      </c>
      <c r="N44" s="173">
        <v>0.01</v>
      </c>
      <c r="O44" s="171">
        <v>0.1</v>
      </c>
      <c r="P44" s="175" t="e">
        <f>2*(((O9+U6)*($I$4/$I$6))^2)</f>
        <v>#DIV/0!</v>
      </c>
      <c r="Q44" s="172">
        <v>2</v>
      </c>
      <c r="R44" s="173">
        <v>0.01</v>
      </c>
      <c r="S44" s="171">
        <v>0.1</v>
      </c>
      <c r="T44" s="175" t="e">
        <f>2*(((Q9+U6)*($I$4/$I$6))^2)</f>
        <v>#DIV/0!</v>
      </c>
      <c r="BW44" s="112"/>
      <c r="BX44" s="112"/>
      <c r="BY44" s="111"/>
      <c r="BZ44" s="111"/>
    </row>
    <row r="45" spans="1:80" s="1" customFormat="1" x14ac:dyDescent="0.4">
      <c r="A45"/>
      <c r="B45"/>
      <c r="C45"/>
      <c r="D45" s="18"/>
      <c r="E45" s="18"/>
      <c r="G45"/>
      <c r="H45"/>
      <c r="I45"/>
      <c r="J45" s="18"/>
      <c r="K45"/>
      <c r="M45" s="172">
        <v>1</v>
      </c>
      <c r="N45" s="173">
        <v>0.01</v>
      </c>
      <c r="O45" s="171">
        <v>0.05</v>
      </c>
      <c r="P45" s="175" t="e">
        <f>2*(((O9+U7)*($I$4/$I$6))^2)</f>
        <v>#DIV/0!</v>
      </c>
      <c r="Q45" s="172">
        <v>2</v>
      </c>
      <c r="R45" s="173">
        <v>0.01</v>
      </c>
      <c r="S45" s="171">
        <v>0.05</v>
      </c>
      <c r="T45" s="175" t="e">
        <f>2*(((Q9+U7)*($I$4/$I$6))^2)</f>
        <v>#DIV/0!</v>
      </c>
      <c r="BW45" s="112"/>
      <c r="BX45" s="112"/>
      <c r="BY45" s="111"/>
      <c r="BZ45" s="111"/>
    </row>
    <row r="46" spans="1:80" s="1" customFormat="1" x14ac:dyDescent="0.4">
      <c r="A46" s="21" t="s">
        <v>64</v>
      </c>
      <c r="D46" s="20"/>
      <c r="E46" s="20"/>
      <c r="M46" s="172">
        <v>1</v>
      </c>
      <c r="N46" s="173">
        <v>0.01</v>
      </c>
      <c r="O46" s="171">
        <v>2.5000000000000001E-2</v>
      </c>
      <c r="P46" s="175" t="e">
        <f>2*(((O9+U8)*($I$4/$I$6))^2)</f>
        <v>#DIV/0!</v>
      </c>
      <c r="Q46" s="172">
        <v>2</v>
      </c>
      <c r="R46" s="173">
        <v>0.01</v>
      </c>
      <c r="S46" s="171">
        <v>2.5000000000000001E-2</v>
      </c>
      <c r="T46" s="175" t="e">
        <f>2*(((Q9+U8)*($I$4/$I$6))^2)</f>
        <v>#DIV/0!</v>
      </c>
      <c r="BW46" s="112"/>
      <c r="BX46" s="112"/>
      <c r="BY46" s="111"/>
      <c r="BZ46" s="111"/>
    </row>
    <row r="47" spans="1:80" s="1" customFormat="1" x14ac:dyDescent="0.4">
      <c r="A47" s="12" t="e">
        <f>IF(D$38&gt;=0.05, "The difference between Test and Control Pools is NOT statistically significant.", "The difference between Test and Control Pools IS statistically significant with a 1-tailed test.")</f>
        <v>#DIV/0!</v>
      </c>
      <c r="D47" s="20"/>
      <c r="E47" s="20"/>
      <c r="M47" s="172">
        <v>1</v>
      </c>
      <c r="N47" s="173">
        <v>0.01</v>
      </c>
      <c r="O47" s="171">
        <v>0.01</v>
      </c>
      <c r="P47" s="175" t="e">
        <f>2*(((O9+U9)*($I$4/$I$6))^2)</f>
        <v>#DIV/0!</v>
      </c>
      <c r="Q47" s="172">
        <v>2</v>
      </c>
      <c r="R47" s="173">
        <v>0.01</v>
      </c>
      <c r="S47" s="171">
        <v>0.01</v>
      </c>
      <c r="T47" s="175" t="e">
        <f>2*(((Q9+U9)*($I$4/$I$6))^2)</f>
        <v>#DIV/0!</v>
      </c>
      <c r="BW47" s="112"/>
      <c r="BX47" s="112"/>
      <c r="BY47" s="111"/>
      <c r="BZ47" s="111"/>
    </row>
    <row r="48" spans="1:80" s="1" customFormat="1" x14ac:dyDescent="0.4">
      <c r="A48" s="12" t="e">
        <f>IF(D$39&gt;=0.05, "The difference between Test and Control Pools is NOT statistically significant.", "The difference between Test and Control Pools IS statistically significant with a 2-tailed test.")</f>
        <v>#DIV/0!</v>
      </c>
      <c r="D48" s="20"/>
      <c r="E48" s="20"/>
      <c r="M48" s="172"/>
      <c r="N48" s="173"/>
      <c r="O48" s="171"/>
      <c r="P48" s="175"/>
      <c r="Q48" s="172"/>
      <c r="R48" s="173"/>
      <c r="S48" s="171"/>
      <c r="T48" s="175"/>
      <c r="BW48" s="112"/>
      <c r="BX48" s="112"/>
      <c r="BY48" s="111"/>
      <c r="BZ48" s="111"/>
    </row>
    <row r="49" spans="1:80" s="1" customFormat="1" x14ac:dyDescent="0.4">
      <c r="A49" s="1" t="e">
        <f>IF(OR(ABS($E$41)&lt;=$I$6,ABS($E$42)&lt;=$I$5), "The difference is &lt; the acceptable limit (Dmax), indicating that Interference is NOT Clinically Significant", "The difference is &gt; the acceptable limit (Dmax), indicating that Interference is Clinically Significant")</f>
        <v>#DIV/0!</v>
      </c>
      <c r="D49" s="20"/>
      <c r="E49" s="20"/>
      <c r="M49"/>
      <c r="N49"/>
      <c r="O49"/>
      <c r="P49"/>
      <c r="Q49"/>
      <c r="R49"/>
      <c r="S49"/>
      <c r="T49"/>
      <c r="V49"/>
      <c r="BW49" s="112"/>
      <c r="BX49" s="112"/>
      <c r="BY49" s="111"/>
      <c r="BZ49" s="111"/>
    </row>
    <row r="50" spans="1:80" x14ac:dyDescent="0.4">
      <c r="A50" s="21"/>
      <c r="B50" s="1"/>
      <c r="C50" s="1"/>
      <c r="D50" s="20"/>
      <c r="E50" s="20"/>
      <c r="G50" s="1"/>
      <c r="H50" s="1"/>
      <c r="I50" s="1"/>
      <c r="J50" s="1"/>
      <c r="K50" s="1"/>
      <c r="N50" s="1" t="s">
        <v>33</v>
      </c>
      <c r="Q50" s="1"/>
    </row>
    <row r="51" spans="1:80" x14ac:dyDescent="0.4">
      <c r="A51" s="21" t="s">
        <v>65</v>
      </c>
      <c r="B51" s="1"/>
      <c r="C51" s="1"/>
      <c r="D51" s="20"/>
      <c r="E51" s="20"/>
      <c r="G51" s="1"/>
      <c r="H51" s="1"/>
      <c r="I51" s="1"/>
      <c r="J51" s="1"/>
      <c r="K51" s="1"/>
      <c r="N51" s="49" t="s">
        <v>151</v>
      </c>
      <c r="O51">
        <v>0.05</v>
      </c>
    </row>
    <row r="52" spans="1:80" x14ac:dyDescent="0.4">
      <c r="A52" s="12" t="e">
        <f>IF(J$38&gt;=0.05, "The difference between Test and Control Pools is NOT statistically significant.", "The difference between Test and Control Pools IS statistically significant with a 1-tailed test.")</f>
        <v>#DIV/0!</v>
      </c>
      <c r="D52" s="18"/>
      <c r="E52" s="18"/>
      <c r="F52" s="1"/>
      <c r="G52" s="12"/>
      <c r="M52" s="1"/>
      <c r="N52" s="49" t="s">
        <v>79</v>
      </c>
      <c r="O52">
        <f>$B$34+$D$34-2</f>
        <v>-2</v>
      </c>
      <c r="Q52" s="49" t="s">
        <v>223</v>
      </c>
      <c r="R52" s="1"/>
      <c r="S52" s="1"/>
      <c r="T52" s="1"/>
      <c r="V52" s="1"/>
    </row>
    <row r="53" spans="1:80" s="1" customFormat="1" x14ac:dyDescent="0.4">
      <c r="A53" s="12" t="e">
        <f>IF(J$39&gt;=0.05, "The difference between Test and Control Pools is NOT statistically significant.", "The difference between Test and Control Pools IS statistically significant with a 2-tailed test.")</f>
        <v>#DIV/0!</v>
      </c>
      <c r="B53"/>
      <c r="C53"/>
      <c r="D53" s="18"/>
      <c r="E53" s="18"/>
      <c r="G53" s="12"/>
      <c r="H53"/>
      <c r="I53"/>
      <c r="J53"/>
      <c r="K53"/>
      <c r="M53"/>
      <c r="N53" s="49" t="s">
        <v>150</v>
      </c>
      <c r="O53" t="e">
        <f>_xlfn.T.INV.2T($O$51,$O$52)</f>
        <v>#NUM!</v>
      </c>
      <c r="P53"/>
      <c r="Q53" s="49" t="s">
        <v>224</v>
      </c>
      <c r="R53"/>
      <c r="S53"/>
      <c r="T53"/>
      <c r="V53"/>
      <c r="BY53" s="112"/>
      <c r="BZ53" s="112"/>
      <c r="CA53" s="112"/>
      <c r="CB53" s="112"/>
    </row>
    <row r="54" spans="1:80" x14ac:dyDescent="0.4">
      <c r="A54" s="1" t="e">
        <f>IF(OR(ABS($K$41)&lt;=$I$6, ABS($K$42)&lt;$I$5),"The difference is &lt; the acceptable limit (Dmax), indicating that Interference is NOT Clinically Significant", "The difference is &gt; the acceptable limit (Dmax), indicating that Interference is Clinically Significant")</f>
        <v>#DIV/0!</v>
      </c>
      <c r="D54" s="18"/>
      <c r="E54" s="18"/>
      <c r="J54" s="12"/>
      <c r="O54" s="49" t="e">
        <f>SQRT((($B$36^2)/$B$34)+(($D$36^2)/$D$34))</f>
        <v>#DIV/0!</v>
      </c>
      <c r="Q54" t="s">
        <v>225</v>
      </c>
      <c r="BV54" s="111"/>
      <c r="BW54" s="111"/>
      <c r="BX54" s="111"/>
      <c r="BZ54"/>
      <c r="CA54"/>
      <c r="CB54"/>
    </row>
    <row r="55" spans="1:80" x14ac:dyDescent="0.4">
      <c r="J55" s="12"/>
      <c r="M55" s="1"/>
      <c r="N55" s="49" t="s">
        <v>176</v>
      </c>
      <c r="O55" s="49" t="e">
        <f>$O$53*$O$54</f>
        <v>#NUM!</v>
      </c>
      <c r="Q55" s="49" t="s">
        <v>226</v>
      </c>
      <c r="R55" s="1"/>
      <c r="S55" s="1"/>
      <c r="T55" s="1"/>
      <c r="V55" s="1"/>
    </row>
    <row r="56" spans="1:80" s="1" customFormat="1" x14ac:dyDescent="0.4">
      <c r="A56"/>
      <c r="B56"/>
      <c r="C56"/>
      <c r="D56"/>
      <c r="E56"/>
      <c r="F56"/>
      <c r="G56"/>
      <c r="H56"/>
      <c r="I56"/>
      <c r="L56"/>
      <c r="M56"/>
      <c r="N56"/>
      <c r="O56"/>
      <c r="P56"/>
      <c r="Q56"/>
      <c r="R56"/>
      <c r="S56"/>
      <c r="T56"/>
      <c r="V56"/>
      <c r="BY56" s="112"/>
      <c r="BZ56" s="112"/>
      <c r="CA56" s="112"/>
      <c r="CB56" s="112"/>
    </row>
    <row r="57" spans="1:80" x14ac:dyDescent="0.4">
      <c r="A57" s="1" t="s">
        <v>66</v>
      </c>
      <c r="B57" s="1"/>
      <c r="C57" s="1"/>
      <c r="D57" s="1"/>
      <c r="E57" s="1"/>
      <c r="F57" s="1" t="s">
        <v>5</v>
      </c>
      <c r="G57" s="1"/>
      <c r="H57" s="1"/>
      <c r="I57" s="1"/>
      <c r="L57" s="1"/>
      <c r="N57" s="1" t="s">
        <v>34</v>
      </c>
      <c r="P57" s="1"/>
    </row>
    <row r="58" spans="1:80" x14ac:dyDescent="0.4">
      <c r="J58" s="253"/>
      <c r="N58" s="49" t="s">
        <v>151</v>
      </c>
      <c r="O58">
        <v>0.05</v>
      </c>
      <c r="P58" s="1"/>
    </row>
    <row r="59" spans="1:80" x14ac:dyDescent="0.4">
      <c r="B59" s="253"/>
      <c r="C59" s="253"/>
      <c r="D59" s="253"/>
      <c r="E59" s="253"/>
      <c r="G59" s="253"/>
      <c r="H59" s="253"/>
      <c r="I59" s="253"/>
      <c r="J59" s="246"/>
      <c r="K59" s="1"/>
      <c r="N59" s="49" t="s">
        <v>79</v>
      </c>
      <c r="O59">
        <f>$H$34+$J$34-2</f>
        <v>-2</v>
      </c>
      <c r="P59" s="1"/>
      <c r="Q59" s="49" t="s">
        <v>227</v>
      </c>
    </row>
    <row r="60" spans="1:80" x14ac:dyDescent="0.4">
      <c r="A60" s="1" t="s">
        <v>67</v>
      </c>
      <c r="B60" s="246"/>
      <c r="C60" s="246"/>
      <c r="D60" s="246"/>
      <c r="E60" s="246"/>
      <c r="G60" s="246"/>
      <c r="H60" s="246"/>
      <c r="I60" s="246"/>
      <c r="N60" s="49" t="s">
        <v>150</v>
      </c>
      <c r="O60" t="e">
        <f>_xlfn.T.INV.2T($O$58,$O$59)</f>
        <v>#NUM!</v>
      </c>
      <c r="P60" s="1"/>
      <c r="Q60" s="49" t="s">
        <v>228</v>
      </c>
    </row>
    <row r="61" spans="1:80" x14ac:dyDescent="0.4">
      <c r="O61" t="e">
        <f>SQRT((($H$36^2)/$H$34)+(($J$36^2)/$J$34))</f>
        <v>#DIV/0!</v>
      </c>
      <c r="P61" s="1"/>
      <c r="Q61" s="49" t="s">
        <v>229</v>
      </c>
    </row>
    <row r="62" spans="1:80" x14ac:dyDescent="0.4">
      <c r="A62" s="49" t="s">
        <v>131</v>
      </c>
      <c r="N62" s="49" t="s">
        <v>176</v>
      </c>
      <c r="O62" t="e">
        <f>$O$60*$O$61</f>
        <v>#NUM!</v>
      </c>
      <c r="Q62" s="49" t="s">
        <v>230</v>
      </c>
    </row>
    <row r="63" spans="1:80" x14ac:dyDescent="0.4">
      <c r="A63">
        <v>1</v>
      </c>
      <c r="B63" s="49" t="s">
        <v>158</v>
      </c>
      <c r="N63" s="1"/>
      <c r="O63" s="1"/>
    </row>
    <row r="64" spans="1:80" x14ac:dyDescent="0.4">
      <c r="A64">
        <v>2</v>
      </c>
      <c r="B64" s="49" t="s">
        <v>133</v>
      </c>
      <c r="N64" s="1"/>
      <c r="O64" s="1"/>
    </row>
    <row r="65" spans="1:16" x14ac:dyDescent="0.4">
      <c r="A65">
        <v>3</v>
      </c>
      <c r="B65" s="49" t="s">
        <v>234</v>
      </c>
      <c r="N65" s="1"/>
      <c r="O65" s="1"/>
      <c r="P65" s="1"/>
    </row>
    <row r="66" spans="1:16" x14ac:dyDescent="0.4">
      <c r="N66" s="1"/>
      <c r="O66" s="1"/>
    </row>
    <row r="67" spans="1:16" x14ac:dyDescent="0.4">
      <c r="N67" s="1"/>
      <c r="O67" s="1"/>
    </row>
    <row r="68" spans="1:16" x14ac:dyDescent="0.4">
      <c r="P68" s="1"/>
    </row>
    <row r="71" spans="1:16" x14ac:dyDescent="0.4">
      <c r="N71" s="1"/>
      <c r="O71" s="1"/>
    </row>
    <row r="74" spans="1:16" x14ac:dyDescent="0.4">
      <c r="N74" s="1"/>
      <c r="O74" s="1"/>
    </row>
  </sheetData>
  <sheetProtection selectLockedCells="1"/>
  <protectedRanges>
    <protectedRange algorithmName="SHA-512" hashValue="4KY1Cay0asyut3KHg0yQpyNVFIDMMeZBDcKFIJUeq15ERCCU5kJiSEAuvmG/h++6yHTxOLdzIdNkxkfOQtMS9A==" saltValue="l/8yh7tUp4iptvVaPL8xIw==" spinCount="100000" sqref="C3:D9 I3:I8 I11" name="Range1"/>
    <protectedRange algorithmName="SHA-512" hashValue="d4mfU+lK8w0dKPiGLCZvHQB9ZRGzoo6sihpPs4kuGabLnddE3hDAIBUqoS3elO8+cBs2nAXFdQ7+llf+NmKR5Q==" saltValue="/T0u8uGDKJwKDVfpTxcW5g==" spinCount="100000" sqref="B14:B33 D14:D33 H14:H33 J14:J33" name="Range2"/>
  </protectedRanges>
  <mergeCells count="34">
    <mergeCell ref="K2:L2"/>
    <mergeCell ref="M2:N2"/>
    <mergeCell ref="A3:B3"/>
    <mergeCell ref="C3:D3"/>
    <mergeCell ref="F3:H3"/>
    <mergeCell ref="I3:J3"/>
    <mergeCell ref="W4:X4"/>
    <mergeCell ref="A6:B6"/>
    <mergeCell ref="C6:D6"/>
    <mergeCell ref="F6:H6"/>
    <mergeCell ref="I6:J6"/>
    <mergeCell ref="A5:B5"/>
    <mergeCell ref="C5:D5"/>
    <mergeCell ref="I5:J5"/>
    <mergeCell ref="A4:B4"/>
    <mergeCell ref="C4:D4"/>
    <mergeCell ref="F4:H4"/>
    <mergeCell ref="I4:J4"/>
    <mergeCell ref="A7:B7"/>
    <mergeCell ref="C7:D7"/>
    <mergeCell ref="F7:H7"/>
    <mergeCell ref="I7:J7"/>
    <mergeCell ref="F10:H10"/>
    <mergeCell ref="I10:J10"/>
    <mergeCell ref="F11:H11"/>
    <mergeCell ref="I11:J11"/>
    <mergeCell ref="A8:B8"/>
    <mergeCell ref="C8:D8"/>
    <mergeCell ref="F8:H8"/>
    <mergeCell ref="I8:J8"/>
    <mergeCell ref="A9:B9"/>
    <mergeCell ref="C9:D9"/>
    <mergeCell ref="F9:H9"/>
    <mergeCell ref="I9:J9"/>
  </mergeCells>
  <dataValidations count="2">
    <dataValidation type="list" allowBlank="1" showInputMessage="1" showErrorMessage="1" sqref="I8:J8" xr:uid="{C0F555BE-3070-4B31-B6A7-C64DEA65CBDA}">
      <formula1>$S$4:$S$9</formula1>
    </dataValidation>
    <dataValidation type="list" allowBlank="1" showInputMessage="1" showErrorMessage="1" sqref="I7" xr:uid="{2306DB52-847C-497B-A7A1-200F81F8B068}">
      <formula1>$M$4:$M$9</formula1>
    </dataValidation>
  </dataValidations>
  <pageMargins left="0.7" right="0.7" top="0.75" bottom="0.75" header="0.3" footer="0.3"/>
  <pageSetup scale="43" orientation="portrait" r:id="rId1"/>
  <headerFooter>
    <oddHeader>&amp;C&amp;G</oddHeader>
    <oddFooter xml:space="preserve">&amp;RSunDx INTWKSHT20191021
</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4D7CA-26C8-435F-AB5F-42E68713932C}">
  <sheetPr codeName="Sheet7"/>
  <dimension ref="A1:CC74"/>
  <sheetViews>
    <sheetView topLeftCell="A3" zoomScale="80" zoomScaleNormal="80" workbookViewId="0">
      <selection activeCell="C3" sqref="C3:D3"/>
    </sheetView>
  </sheetViews>
  <sheetFormatPr defaultRowHeight="12.7" x14ac:dyDescent="0.4"/>
  <cols>
    <col min="1" max="1" width="11.64453125" bestFit="1" customWidth="1"/>
    <col min="2" max="2" width="12.3515625" bestFit="1" customWidth="1"/>
    <col min="3" max="3" width="10.234375" bestFit="1" customWidth="1"/>
    <col min="4" max="4" width="9.234375" bestFit="1" customWidth="1"/>
    <col min="7" max="7" width="11.64453125" bestFit="1" customWidth="1"/>
    <col min="8" max="8" width="9.64453125" customWidth="1"/>
    <col min="10" max="10" width="10.234375" customWidth="1"/>
    <col min="11" max="11" width="9" bestFit="1" customWidth="1"/>
    <col min="12" max="12" width="12.41015625" customWidth="1"/>
    <col min="13" max="13" width="5.87890625" customWidth="1"/>
    <col min="14" max="14" width="8.87890625" customWidth="1"/>
    <col min="15" max="15" width="8.234375" customWidth="1"/>
    <col min="16" max="16" width="7.52734375" bestFit="1" customWidth="1"/>
    <col min="17" max="17" width="8.1171875" bestFit="1" customWidth="1"/>
    <col min="18" max="19" width="6.234375" bestFit="1" customWidth="1"/>
    <col min="20" max="20" width="7.52734375" bestFit="1" customWidth="1"/>
    <col min="21" max="21" width="6.234375" bestFit="1" customWidth="1"/>
    <col min="22" max="22" width="4.64453125" bestFit="1" customWidth="1"/>
    <col min="27" max="29" width="8.87890625" customWidth="1"/>
    <col min="77" max="78" width="8.87890625" style="111"/>
    <col min="79" max="79" width="6.1171875" style="111" customWidth="1"/>
    <col min="80" max="80" width="9.1171875" style="111" customWidth="1"/>
  </cols>
  <sheetData>
    <row r="1" spans="1:81" ht="13" thickBot="1" x14ac:dyDescent="0.45">
      <c r="A1" s="1" t="s">
        <v>8</v>
      </c>
      <c r="F1" s="1" t="s">
        <v>120</v>
      </c>
    </row>
    <row r="2" spans="1:81" ht="13" thickBot="1" x14ac:dyDescent="0.45">
      <c r="C2" s="49" t="s">
        <v>233</v>
      </c>
      <c r="J2" s="180"/>
      <c r="K2" s="310" t="s">
        <v>137</v>
      </c>
      <c r="L2" s="309"/>
      <c r="M2" s="308" t="s">
        <v>138</v>
      </c>
      <c r="N2" s="309"/>
      <c r="BV2" s="111"/>
      <c r="BW2" s="111"/>
      <c r="BX2" s="111"/>
      <c r="BZ2"/>
      <c r="CA2"/>
      <c r="CB2"/>
    </row>
    <row r="3" spans="1:81" ht="13.35" thickBot="1" x14ac:dyDescent="0.5">
      <c r="A3" s="317" t="s">
        <v>5</v>
      </c>
      <c r="B3" s="312"/>
      <c r="C3" s="318"/>
      <c r="D3" s="319"/>
      <c r="E3" s="28"/>
      <c r="F3" s="320" t="s">
        <v>42</v>
      </c>
      <c r="G3" s="320"/>
      <c r="H3" s="321"/>
      <c r="I3" s="315"/>
      <c r="J3" s="316"/>
      <c r="M3" s="181" t="s">
        <v>170</v>
      </c>
      <c r="N3" s="176" t="s">
        <v>164</v>
      </c>
      <c r="O3" s="114" t="s">
        <v>165</v>
      </c>
      <c r="P3" s="113" t="s">
        <v>164</v>
      </c>
      <c r="Q3" s="114" t="s">
        <v>165</v>
      </c>
      <c r="S3" s="185" t="s">
        <v>171</v>
      </c>
      <c r="T3" s="169" t="s">
        <v>166</v>
      </c>
      <c r="U3" s="186" t="s">
        <v>163</v>
      </c>
      <c r="V3" s="189" t="s">
        <v>169</v>
      </c>
    </row>
    <row r="4" spans="1:81" x14ac:dyDescent="0.4">
      <c r="A4" s="311" t="s">
        <v>37</v>
      </c>
      <c r="B4" s="312"/>
      <c r="C4" s="336"/>
      <c r="D4" s="314"/>
      <c r="E4" s="22"/>
      <c r="F4" s="320" t="s">
        <v>43</v>
      </c>
      <c r="G4" s="320"/>
      <c r="H4" s="321"/>
      <c r="I4" s="332"/>
      <c r="J4" s="327"/>
      <c r="K4" s="42">
        <f>C5</f>
        <v>0</v>
      </c>
      <c r="M4" s="182">
        <v>0.2</v>
      </c>
      <c r="N4" s="177">
        <v>0.8</v>
      </c>
      <c r="O4" s="162">
        <v>0.84199999999999997</v>
      </c>
      <c r="P4" s="162">
        <v>0.8</v>
      </c>
      <c r="Q4" s="163">
        <v>1.282</v>
      </c>
      <c r="S4" s="182">
        <v>0.2</v>
      </c>
      <c r="T4" s="161">
        <v>0.8</v>
      </c>
      <c r="U4" s="187">
        <v>0.84199999999999997</v>
      </c>
      <c r="V4" s="190">
        <v>1</v>
      </c>
      <c r="W4" s="328"/>
      <c r="X4" s="329"/>
      <c r="BY4"/>
      <c r="CC4" s="111"/>
    </row>
    <row r="5" spans="1:81" ht="13" thickBot="1" x14ac:dyDescent="0.45">
      <c r="A5" s="311" t="s">
        <v>31</v>
      </c>
      <c r="B5" s="312"/>
      <c r="C5" s="330"/>
      <c r="D5" s="314"/>
      <c r="E5" s="22"/>
      <c r="F5" s="256" t="s">
        <v>231</v>
      </c>
      <c r="G5" s="253"/>
      <c r="H5" s="254"/>
      <c r="I5" s="323"/>
      <c r="J5" s="324"/>
      <c r="K5" s="265" t="s">
        <v>205</v>
      </c>
      <c r="M5" s="183">
        <v>0.15</v>
      </c>
      <c r="N5" s="178">
        <v>0.85</v>
      </c>
      <c r="O5" s="159">
        <v>1.036</v>
      </c>
      <c r="P5" s="160">
        <v>0.85</v>
      </c>
      <c r="Q5" s="165">
        <v>1.44</v>
      </c>
      <c r="S5" s="183">
        <v>0.15</v>
      </c>
      <c r="T5" s="164">
        <v>0.85</v>
      </c>
      <c r="U5" s="188">
        <v>1.036</v>
      </c>
      <c r="V5" s="191">
        <v>2</v>
      </c>
      <c r="BY5"/>
      <c r="CC5" s="111"/>
    </row>
    <row r="6" spans="1:81" x14ac:dyDescent="0.4">
      <c r="A6" s="311" t="s">
        <v>38</v>
      </c>
      <c r="B6" s="312"/>
      <c r="C6" s="325"/>
      <c r="D6" s="314"/>
      <c r="E6" s="22"/>
      <c r="F6" s="322" t="s">
        <v>232</v>
      </c>
      <c r="G6" s="320"/>
      <c r="H6" s="321"/>
      <c r="I6" s="326"/>
      <c r="J6" s="327"/>
      <c r="K6" s="264">
        <f>C5</f>
        <v>0</v>
      </c>
      <c r="M6" s="183">
        <v>0.1</v>
      </c>
      <c r="N6" s="178">
        <v>0.9</v>
      </c>
      <c r="O6" s="160">
        <v>1.282</v>
      </c>
      <c r="P6" s="160">
        <v>0.9</v>
      </c>
      <c r="Q6" s="165">
        <v>1.645</v>
      </c>
      <c r="S6" s="183">
        <v>0.1</v>
      </c>
      <c r="T6" s="164">
        <v>0.9</v>
      </c>
      <c r="U6" s="165">
        <v>1.282</v>
      </c>
      <c r="BY6"/>
      <c r="CC6" s="111"/>
    </row>
    <row r="7" spans="1:81" x14ac:dyDescent="0.4">
      <c r="A7" s="311" t="s">
        <v>39</v>
      </c>
      <c r="B7" s="312"/>
      <c r="C7" s="313"/>
      <c r="D7" s="314"/>
      <c r="E7" s="22"/>
      <c r="F7" s="320" t="s">
        <v>167</v>
      </c>
      <c r="G7" s="320"/>
      <c r="H7" s="321"/>
      <c r="I7" s="335"/>
      <c r="J7" s="314"/>
      <c r="K7" s="4"/>
      <c r="M7" s="183">
        <v>0.05</v>
      </c>
      <c r="N7" s="178">
        <v>0.95</v>
      </c>
      <c r="O7" s="160">
        <v>1.645</v>
      </c>
      <c r="P7" s="160">
        <v>0.95</v>
      </c>
      <c r="Q7" s="165">
        <v>1.96</v>
      </c>
      <c r="S7" s="183">
        <v>0.05</v>
      </c>
      <c r="T7" s="164">
        <v>0.95</v>
      </c>
      <c r="U7" s="165">
        <v>1.645</v>
      </c>
      <c r="BY7"/>
      <c r="CC7" s="111"/>
    </row>
    <row r="8" spans="1:81" x14ac:dyDescent="0.4">
      <c r="A8" s="311" t="s">
        <v>40</v>
      </c>
      <c r="B8" s="312"/>
      <c r="C8" s="313"/>
      <c r="D8" s="314"/>
      <c r="E8" s="22"/>
      <c r="F8" s="320" t="s">
        <v>168</v>
      </c>
      <c r="G8" s="320"/>
      <c r="H8" s="321"/>
      <c r="I8" s="335"/>
      <c r="J8" s="314"/>
      <c r="M8" s="183">
        <v>2.5000000000000001E-2</v>
      </c>
      <c r="N8" s="178">
        <v>0.97499999999999998</v>
      </c>
      <c r="O8" s="160">
        <v>1.96</v>
      </c>
      <c r="P8" s="160">
        <v>0.97499999999999998</v>
      </c>
      <c r="Q8" s="165">
        <v>2.2400000000000002</v>
      </c>
      <c r="S8" s="183">
        <v>2.5000000000000001E-2</v>
      </c>
      <c r="T8" s="164">
        <v>0.97499999999999998</v>
      </c>
      <c r="U8" s="165">
        <v>1.96</v>
      </c>
      <c r="BY8"/>
      <c r="CC8" s="111"/>
    </row>
    <row r="9" spans="1:81" ht="13" thickBot="1" x14ac:dyDescent="0.45">
      <c r="A9" s="311" t="s">
        <v>30</v>
      </c>
      <c r="B9" s="312"/>
      <c r="C9" s="330"/>
      <c r="D9" s="314"/>
      <c r="E9" s="22"/>
      <c r="F9" s="322" t="s">
        <v>172</v>
      </c>
      <c r="G9" s="320"/>
      <c r="H9" s="321"/>
      <c r="I9" s="333">
        <f>ROUNDUP(IF(AND(I7=0.2,I8=0.2),P12,IF(AND(I7=0.2,I8=0.15),P13,IF(AND(I7=0.2,I8=0.1),P14,IF(AND(I7=0.2,I8=0.05),P15,IF(AND(I7=0.2,I8=0.025),P16,IF(AND(I7=0.2,I8=0.01),P17,IF(AND(I7=0.15,I8=0.2),P18,IF(AND(I7=0.15,I8=0.15),P19,IF(AND(I7=0.15,I8=0.1),P20,IF(AND(I7=0.15,I8=0.05),P21,IF(AND(I7=0.15,I8=0.025),P22,IF(AND(I7=0.15,I8=0.01),P23,IF(AND(I7=0.1,I8=0.2),P24,IF(AND(I7=0.1,I8=0.15),P25,IF(AND(I7=0.1,I8=0.1),P26,IF(AND(I7=0.1,I8=0.05),P27,IF(AND(I7=0.1,I8=0.025),P28,IF(AND(I7=0.1,I8=0.01),P29,IF(AND(I7=0.05,I8=0.2),P30,IF(AND(I7=0.05,I8=0.15),P31,IF(AND(I7=0.05,I8=0.1),P32,IF(AND(I7=0.05,I8=0.05),P33,IF(AND(I7=0.05,I8=0.025),P34,IF(AND(I7=0.05,I8=0.01),P35,IF(AND(I7=0.025,I8=0.2),P36,IF(AND(I7=0.025,I8=0.1),P37,IF(AND(I7=0.025,I8=0.05),P38,IF(AND(I7=0.025,I8=0.025),P39,IF(AND(I7=0.025,I8=0.01),P40,IF(AND(I7=0.01,I8=0.2),P41,IF(AND(I7=0.01,I8=0.2),P42,IF(AND(I7=0.01,I8=0.15),P43,IF(AND(I7=0.01,I8=0.1),P44,IF(AND(I7=0.01,I8=0.05),P45,IF(AND(I7=0.01,I8=0.025),P46,IF(AND(I7=0.01,I8=0.01),P45)))))))))))))))))))))))))))))))))))),0)</f>
        <v>0</v>
      </c>
      <c r="J9" s="334"/>
      <c r="M9" s="184">
        <v>0.01</v>
      </c>
      <c r="N9" s="179">
        <v>0.99</v>
      </c>
      <c r="O9" s="167">
        <v>2.3260000000000001</v>
      </c>
      <c r="P9" s="167">
        <v>0.99</v>
      </c>
      <c r="Q9" s="168">
        <v>2.5760000000000001</v>
      </c>
      <c r="S9" s="184">
        <v>0.01</v>
      </c>
      <c r="T9" s="166">
        <v>0.99</v>
      </c>
      <c r="U9" s="168">
        <v>2.3260000000000001</v>
      </c>
      <c r="BY9"/>
      <c r="CC9" s="111"/>
    </row>
    <row r="10" spans="1:81" x14ac:dyDescent="0.4">
      <c r="A10" s="5"/>
      <c r="B10" s="22"/>
      <c r="C10" s="170"/>
      <c r="D10" s="22"/>
      <c r="E10" s="22"/>
      <c r="F10" s="322" t="s">
        <v>173</v>
      </c>
      <c r="G10" s="320"/>
      <c r="H10" s="321"/>
      <c r="I10" s="337">
        <f>ROUNDUP(IF(AND(I7=0.2,I8=0.2),T12,IF(AND(I7=0.2,I8=0.15),T13,IF(AND(I7=0.2,I8=0.1),T14,IF(AND(I7=0.2,I8=0.05),T15,IF(AND(I7=0.2,I8=0.025),T16,IF(AND(I7=0.2,I8=0.01),T17,IF(AND(I7=0.15,I8=0.2),T18,IF(AND(I7=0.15,I8=0.15),T19,IF(AND(I7=0.15,I8=0.1),T20,IF(AND(I7=0.15,I8=0.05),T21,IF(AND(I7=0.15,I8=0.025),T22,IF(AND(I7=0.15,I8=0.01),T23,IF(AND(I7=0.1,I8=0.2),T24,IF(AND(I7=0.1,I8=0.15),T25,IF(AND(I7=0.1,I8=0.1),T26,IF(AND(I7=0.1,I8=0.05),T27,IF(AND(I7=0.1,I8=0.025),T28,IF(AND(I7=0.1,I8=0.01),T29,IF(AND(I7=0.05,I8=0.2),T30,IF(AND(I7=0.05,I8=0.15),T31,IF(AND(I7=0.05,I8=0.1),T32,IF(AND(I7=0.05,I8=0.05),T33,IF(AND(I7=0.05,I8=0.025),T34,IF(AND(I7=0.05,I8=0.01),T35,IF(AND(I7=0.025,I8=0.2),T36,IF(AND(I7=0.025,I8=0.15),T37,IF(AND(I7=0.025,I8=0.1),T38,IF(AND(I7=0.025,I8=0.05),T39,IF(AND(I7=0.025,I8=0.025),T40,IF(AND(I7=0.025,I8=0.01),T41,IF(AND(I7=0.01,I8=0.2),T42,IF(AND(I7=0.01,I8=0.15),T43,IF(AND(I7=0.01,I8=0.1),T44,IF(AND(I7=0.01,I8=0.05),T45,IF(AND(I7=0.01,I8=0.025),T46,IF(AND(I7=0.01,I8=0.01),T47)))))))))))))))))))))))))))))))))))),0)</f>
        <v>0</v>
      </c>
      <c r="J10" s="334"/>
      <c r="K10" s="1"/>
      <c r="M10" s="22"/>
      <c r="N10" s="192"/>
      <c r="O10" s="192"/>
      <c r="P10" s="192"/>
      <c r="Q10" s="192"/>
      <c r="S10" s="22"/>
      <c r="T10" s="192"/>
      <c r="U10" s="192"/>
      <c r="V10" s="1"/>
      <c r="BY10"/>
      <c r="CB10" s="112"/>
      <c r="CC10" s="112"/>
    </row>
    <row r="11" spans="1:81" s="1" customFormat="1" x14ac:dyDescent="0.4">
      <c r="A11" s="1" t="s">
        <v>175</v>
      </c>
      <c r="B11" s="4"/>
      <c r="C11" s="9"/>
      <c r="D11" s="9"/>
      <c r="E11" s="4"/>
      <c r="F11" s="320" t="s">
        <v>68</v>
      </c>
      <c r="G11" s="320"/>
      <c r="H11" s="321"/>
      <c r="I11" s="331"/>
      <c r="J11" s="316"/>
      <c r="K11"/>
      <c r="M11" s="6" t="s">
        <v>169</v>
      </c>
      <c r="N11" s="6" t="s">
        <v>167</v>
      </c>
      <c r="O11" s="6" t="s">
        <v>168</v>
      </c>
      <c r="P11" s="6" t="s">
        <v>174</v>
      </c>
      <c r="Q11" s="6" t="s">
        <v>169</v>
      </c>
      <c r="R11" s="6" t="s">
        <v>167</v>
      </c>
      <c r="S11" s="6" t="s">
        <v>168</v>
      </c>
      <c r="T11" s="6" t="s">
        <v>174</v>
      </c>
      <c r="V11"/>
      <c r="BW11" s="112"/>
      <c r="BX11" s="112"/>
      <c r="BY11" s="111"/>
      <c r="BZ11" s="111"/>
    </row>
    <row r="12" spans="1:81" x14ac:dyDescent="0.4">
      <c r="A12" s="25" t="s">
        <v>33</v>
      </c>
      <c r="B12" s="24"/>
      <c r="C12" s="16"/>
      <c r="D12" s="17"/>
      <c r="E12" s="10"/>
      <c r="F12" s="2"/>
      <c r="G12" s="25" t="s">
        <v>34</v>
      </c>
      <c r="H12" s="24"/>
      <c r="I12" s="16"/>
      <c r="J12" s="17"/>
      <c r="M12" s="172">
        <v>1</v>
      </c>
      <c r="N12" s="171">
        <v>0.2</v>
      </c>
      <c r="O12" s="171">
        <v>0.2</v>
      </c>
      <c r="P12" s="175" t="e">
        <f>2*(((O4+U4)*($I$4/$I$6))^2)</f>
        <v>#DIV/0!</v>
      </c>
      <c r="Q12" s="172">
        <v>2</v>
      </c>
      <c r="R12" s="171">
        <v>0.2</v>
      </c>
      <c r="S12" s="171">
        <v>0.2</v>
      </c>
      <c r="T12" s="175" t="e">
        <f>2*(((Q4+U4)*($I$4/$I$6))^2)</f>
        <v>#DIV/0!</v>
      </c>
      <c r="BW12" s="111"/>
      <c r="BX12" s="111"/>
      <c r="CA12"/>
      <c r="CB12"/>
    </row>
    <row r="13" spans="1:81" x14ac:dyDescent="0.4">
      <c r="A13" s="26" t="s">
        <v>2</v>
      </c>
      <c r="B13" s="10" t="s">
        <v>7</v>
      </c>
      <c r="C13" s="26" t="s">
        <v>2</v>
      </c>
      <c r="D13" s="14" t="s">
        <v>36</v>
      </c>
      <c r="E13" s="8"/>
      <c r="F13" s="2"/>
      <c r="G13" s="26" t="s">
        <v>2</v>
      </c>
      <c r="H13" s="10" t="s">
        <v>7</v>
      </c>
      <c r="I13" s="26" t="s">
        <v>2</v>
      </c>
      <c r="J13" s="14" t="s">
        <v>36</v>
      </c>
      <c r="M13" s="172">
        <v>1</v>
      </c>
      <c r="N13" s="171">
        <v>0.2</v>
      </c>
      <c r="O13" s="171">
        <v>0.15</v>
      </c>
      <c r="P13" s="175" t="e">
        <f>2*(((O4+U5)*($I$4/$I$6))^2)</f>
        <v>#DIV/0!</v>
      </c>
      <c r="Q13" s="172">
        <v>2</v>
      </c>
      <c r="R13" s="171">
        <v>0.2</v>
      </c>
      <c r="S13" s="171">
        <v>0.15</v>
      </c>
      <c r="T13" s="175" t="e">
        <f>2*(((Q4+U5)*($I$4/$I$6))^2)</f>
        <v>#DIV/0!</v>
      </c>
      <c r="BW13" s="111"/>
      <c r="BX13" s="111"/>
      <c r="CA13"/>
      <c r="CB13"/>
    </row>
    <row r="14" spans="1:81" x14ac:dyDescent="0.4">
      <c r="A14" s="15" t="s">
        <v>9</v>
      </c>
      <c r="B14" s="210"/>
      <c r="C14" s="22" t="s">
        <v>19</v>
      </c>
      <c r="D14" s="210"/>
      <c r="E14" s="8"/>
      <c r="F14" s="2"/>
      <c r="G14" s="15" t="s">
        <v>9</v>
      </c>
      <c r="H14" s="255"/>
      <c r="I14" s="22" t="s">
        <v>19</v>
      </c>
      <c r="J14" s="255"/>
      <c r="M14" s="172">
        <v>1</v>
      </c>
      <c r="N14" s="171">
        <v>0.2</v>
      </c>
      <c r="O14" s="171">
        <v>0.1</v>
      </c>
      <c r="P14" s="175" t="e">
        <f>2*(((O4+U6)*($I$4/$I$6))^2)</f>
        <v>#DIV/0!</v>
      </c>
      <c r="Q14" s="172">
        <v>2</v>
      </c>
      <c r="R14" s="171">
        <v>0.2</v>
      </c>
      <c r="S14" s="171">
        <v>0.1</v>
      </c>
      <c r="T14" s="175" t="e">
        <f>2*(((Q4+U6)*($I$4/$I$6))^2)</f>
        <v>#DIV/0!</v>
      </c>
      <c r="BW14" s="111"/>
      <c r="BX14" s="111"/>
      <c r="CA14"/>
      <c r="CB14"/>
    </row>
    <row r="15" spans="1:81" x14ac:dyDescent="0.4">
      <c r="A15" s="15" t="s">
        <v>10</v>
      </c>
      <c r="B15" s="210"/>
      <c r="C15" s="22" t="s">
        <v>20</v>
      </c>
      <c r="D15" s="210"/>
      <c r="E15" s="8"/>
      <c r="F15" s="2"/>
      <c r="G15" s="15" t="s">
        <v>10</v>
      </c>
      <c r="H15" s="255"/>
      <c r="I15" s="22" t="s">
        <v>20</v>
      </c>
      <c r="J15" s="255"/>
      <c r="M15" s="172">
        <v>1</v>
      </c>
      <c r="N15" s="171">
        <v>0.2</v>
      </c>
      <c r="O15" s="171">
        <v>0.05</v>
      </c>
      <c r="P15" s="175" t="e">
        <f>2*(((O4+U7)*($I$4/$I$6))^2)</f>
        <v>#DIV/0!</v>
      </c>
      <c r="Q15" s="172">
        <v>2</v>
      </c>
      <c r="R15" s="171">
        <v>0.2</v>
      </c>
      <c r="S15" s="171">
        <v>0.05</v>
      </c>
      <c r="T15" s="175" t="e">
        <f>2*(((Q4+U7)*($I$4/$I$6))^2)</f>
        <v>#DIV/0!</v>
      </c>
      <c r="BW15" s="111"/>
      <c r="BX15" s="111"/>
      <c r="CA15"/>
      <c r="CB15"/>
    </row>
    <row r="16" spans="1:81" x14ac:dyDescent="0.4">
      <c r="A16" s="27" t="s">
        <v>11</v>
      </c>
      <c r="B16" s="210"/>
      <c r="C16" s="5" t="s">
        <v>21</v>
      </c>
      <c r="D16" s="210"/>
      <c r="E16" s="8"/>
      <c r="F16" s="2"/>
      <c r="G16" s="27" t="s">
        <v>11</v>
      </c>
      <c r="H16" s="255"/>
      <c r="I16" s="5" t="s">
        <v>21</v>
      </c>
      <c r="J16" s="255"/>
      <c r="M16" s="172">
        <v>1</v>
      </c>
      <c r="N16" s="171">
        <v>0.2</v>
      </c>
      <c r="O16" s="171">
        <v>2.5000000000000001E-2</v>
      </c>
      <c r="P16" s="175" t="e">
        <f>2*(((O4+U8)*($I$4/$I$6))^2)</f>
        <v>#DIV/0!</v>
      </c>
      <c r="Q16" s="172">
        <v>2</v>
      </c>
      <c r="R16" s="171">
        <v>0.2</v>
      </c>
      <c r="S16" s="171">
        <v>2.5000000000000001E-2</v>
      </c>
      <c r="T16" s="175" t="e">
        <f>2*(((Q4+U8)*($I$4/$I$6))^2)</f>
        <v>#DIV/0!</v>
      </c>
      <c r="BW16" s="111"/>
      <c r="BX16" s="111"/>
      <c r="CA16"/>
      <c r="CB16"/>
    </row>
    <row r="17" spans="1:80" x14ac:dyDescent="0.4">
      <c r="A17" s="27" t="s">
        <v>12</v>
      </c>
      <c r="B17" s="210"/>
      <c r="C17" s="5" t="s">
        <v>22</v>
      </c>
      <c r="D17" s="210"/>
      <c r="E17" s="8"/>
      <c r="F17" s="2"/>
      <c r="G17" s="27" t="s">
        <v>12</v>
      </c>
      <c r="H17" s="255"/>
      <c r="I17" s="5" t="s">
        <v>22</v>
      </c>
      <c r="J17" s="255"/>
      <c r="M17" s="172">
        <v>1</v>
      </c>
      <c r="N17" s="171">
        <v>0.2</v>
      </c>
      <c r="O17" s="171">
        <v>0.01</v>
      </c>
      <c r="P17" s="175" t="e">
        <f>2*(((O4+U9)*($I$4/$I$6))^2)</f>
        <v>#DIV/0!</v>
      </c>
      <c r="Q17" s="172">
        <v>2</v>
      </c>
      <c r="R17" s="171">
        <v>0.2</v>
      </c>
      <c r="S17" s="171">
        <v>0.01</v>
      </c>
      <c r="T17" s="175" t="e">
        <f>2*(((Q4+U9)*($I$4/$I$6))^2)</f>
        <v>#DIV/0!</v>
      </c>
      <c r="BW17" s="111"/>
      <c r="BX17" s="111"/>
      <c r="CA17"/>
      <c r="CB17"/>
    </row>
    <row r="18" spans="1:80" x14ac:dyDescent="0.4">
      <c r="A18" s="27" t="s">
        <v>13</v>
      </c>
      <c r="B18" s="210"/>
      <c r="C18" s="5" t="s">
        <v>23</v>
      </c>
      <c r="D18" s="255"/>
      <c r="E18" s="8"/>
      <c r="F18" s="2"/>
      <c r="G18" s="27" t="s">
        <v>13</v>
      </c>
      <c r="H18" s="255"/>
      <c r="I18" s="5" t="s">
        <v>23</v>
      </c>
      <c r="J18" s="255"/>
      <c r="M18" s="172">
        <v>1</v>
      </c>
      <c r="N18" s="171">
        <v>0.15</v>
      </c>
      <c r="O18" s="171">
        <v>0.2</v>
      </c>
      <c r="P18" s="175" t="e">
        <f>2*(((O5+U4)*($I$4/$I$6))^2)</f>
        <v>#DIV/0!</v>
      </c>
      <c r="Q18" s="172">
        <v>2</v>
      </c>
      <c r="R18" s="171">
        <v>0.15</v>
      </c>
      <c r="S18" s="171">
        <v>0.2</v>
      </c>
      <c r="T18" s="175" t="e">
        <f>2*(((Q5+U4)*($I$4/$I$6))^2)</f>
        <v>#DIV/0!</v>
      </c>
      <c r="BW18" s="111"/>
      <c r="BX18" s="111"/>
      <c r="CA18"/>
      <c r="CB18"/>
    </row>
    <row r="19" spans="1:80" x14ac:dyDescent="0.4">
      <c r="A19" s="27" t="s">
        <v>14</v>
      </c>
      <c r="B19" s="255"/>
      <c r="C19" s="5" t="s">
        <v>24</v>
      </c>
      <c r="D19" s="255"/>
      <c r="E19" s="8"/>
      <c r="F19" s="2"/>
      <c r="G19" s="27" t="s">
        <v>14</v>
      </c>
      <c r="H19" s="255"/>
      <c r="I19" s="5" t="s">
        <v>24</v>
      </c>
      <c r="J19" s="255"/>
      <c r="M19" s="172">
        <v>1</v>
      </c>
      <c r="N19" s="171">
        <v>0.15</v>
      </c>
      <c r="O19" s="171">
        <v>0.15</v>
      </c>
      <c r="P19" s="175" t="e">
        <f>2*(((O5+U5)*($I$4/$I$6))^2)</f>
        <v>#DIV/0!</v>
      </c>
      <c r="Q19" s="172">
        <v>2</v>
      </c>
      <c r="R19" s="171">
        <v>0.15</v>
      </c>
      <c r="S19" s="171">
        <v>0.15</v>
      </c>
      <c r="T19" s="175" t="e">
        <f>2*(((Q5+U5)*($I$4/$I$6))^2)</f>
        <v>#DIV/0!</v>
      </c>
      <c r="BW19" s="111"/>
      <c r="BX19" s="111"/>
      <c r="CA19"/>
      <c r="CB19"/>
    </row>
    <row r="20" spans="1:80" x14ac:dyDescent="0.4">
      <c r="A20" s="27" t="s">
        <v>15</v>
      </c>
      <c r="B20" s="255"/>
      <c r="C20" s="5" t="s">
        <v>25</v>
      </c>
      <c r="D20" s="255"/>
      <c r="E20" s="8"/>
      <c r="F20" s="2"/>
      <c r="G20" s="27" t="s">
        <v>15</v>
      </c>
      <c r="H20" s="255"/>
      <c r="I20" s="5" t="s">
        <v>25</v>
      </c>
      <c r="J20" s="255"/>
      <c r="M20" s="172">
        <v>1</v>
      </c>
      <c r="N20" s="171">
        <v>0.15</v>
      </c>
      <c r="O20" s="171">
        <v>0.1</v>
      </c>
      <c r="P20" s="175" t="e">
        <f>2*(((O5+U6)*($I$4/$I$6))^2)</f>
        <v>#DIV/0!</v>
      </c>
      <c r="Q20" s="172">
        <v>2</v>
      </c>
      <c r="R20" s="171">
        <v>0.15</v>
      </c>
      <c r="S20" s="171">
        <v>0.1</v>
      </c>
      <c r="T20" s="175" t="e">
        <f>2*(((Q5+U6)*($I$4/$I$6))^2)</f>
        <v>#DIV/0!</v>
      </c>
      <c r="BW20" s="111"/>
      <c r="BX20" s="111"/>
      <c r="CA20"/>
      <c r="CB20"/>
    </row>
    <row r="21" spans="1:80" x14ac:dyDescent="0.4">
      <c r="A21" s="27" t="s">
        <v>16</v>
      </c>
      <c r="B21" s="255"/>
      <c r="C21" s="5" t="s">
        <v>26</v>
      </c>
      <c r="D21" s="255"/>
      <c r="E21" s="8"/>
      <c r="F21" s="2"/>
      <c r="G21" s="27" t="s">
        <v>16</v>
      </c>
      <c r="H21" s="255"/>
      <c r="I21" s="5" t="s">
        <v>26</v>
      </c>
      <c r="J21" s="255"/>
      <c r="M21" s="172">
        <v>1</v>
      </c>
      <c r="N21" s="171">
        <v>0.15</v>
      </c>
      <c r="O21" s="171">
        <v>0.05</v>
      </c>
      <c r="P21" s="175" t="e">
        <f>2*(((O5+U7)*($I$4/$I$6))^2)</f>
        <v>#DIV/0!</v>
      </c>
      <c r="Q21" s="172">
        <v>2</v>
      </c>
      <c r="R21" s="171">
        <v>0.15</v>
      </c>
      <c r="S21" s="171">
        <v>0.05</v>
      </c>
      <c r="T21" s="175" t="e">
        <f>2*(((Q5+U7)*($I$4/$I$6))^2)</f>
        <v>#DIV/0!</v>
      </c>
      <c r="BW21" s="111"/>
      <c r="BX21" s="111"/>
      <c r="CA21"/>
      <c r="CB21"/>
    </row>
    <row r="22" spans="1:80" x14ac:dyDescent="0.4">
      <c r="A22" s="27" t="s">
        <v>17</v>
      </c>
      <c r="B22" s="255"/>
      <c r="C22" s="5" t="s">
        <v>27</v>
      </c>
      <c r="D22" s="255"/>
      <c r="E22" s="8"/>
      <c r="F22" s="2"/>
      <c r="G22" s="27" t="s">
        <v>17</v>
      </c>
      <c r="H22" s="255"/>
      <c r="I22" s="5" t="s">
        <v>27</v>
      </c>
      <c r="J22" s="255"/>
      <c r="M22" s="172">
        <v>1</v>
      </c>
      <c r="N22" s="171">
        <v>0.15</v>
      </c>
      <c r="O22" s="171">
        <v>2.5000000000000001E-2</v>
      </c>
      <c r="P22" s="175" t="e">
        <f>2*(((O5+U8)*($I$4/$I$6))^2)</f>
        <v>#DIV/0!</v>
      </c>
      <c r="Q22" s="172">
        <v>2</v>
      </c>
      <c r="R22" s="171">
        <v>0.15</v>
      </c>
      <c r="S22" s="171">
        <v>2.5000000000000001E-2</v>
      </c>
      <c r="T22" s="175" t="e">
        <f>2*(((Q5+U8)*($I$4/$I$6))^2)</f>
        <v>#DIV/0!</v>
      </c>
      <c r="BW22" s="111"/>
      <c r="BX22" s="111"/>
      <c r="CA22"/>
      <c r="CB22"/>
    </row>
    <row r="23" spans="1:80" x14ac:dyDescent="0.4">
      <c r="A23" s="27" t="s">
        <v>18</v>
      </c>
      <c r="B23" s="255"/>
      <c r="C23" s="5" t="s">
        <v>28</v>
      </c>
      <c r="D23" s="255"/>
      <c r="E23" s="8"/>
      <c r="F23" s="2"/>
      <c r="G23" s="27" t="s">
        <v>18</v>
      </c>
      <c r="H23" s="255"/>
      <c r="I23" s="5" t="s">
        <v>28</v>
      </c>
      <c r="J23" s="255"/>
      <c r="M23" s="172">
        <v>1</v>
      </c>
      <c r="N23" s="171">
        <v>0.15</v>
      </c>
      <c r="O23" s="171">
        <v>0.01</v>
      </c>
      <c r="P23" s="175" t="e">
        <f>2*(((O5+U9)*($I$4/$I$6))^2)</f>
        <v>#DIV/0!</v>
      </c>
      <c r="Q23" s="172">
        <v>2</v>
      </c>
      <c r="R23" s="171">
        <v>0.15</v>
      </c>
      <c r="S23" s="171">
        <v>0.01</v>
      </c>
      <c r="T23" s="175" t="e">
        <f>2*(((Q5+U9)*($I$4/$I$6))^2)</f>
        <v>#DIV/0!</v>
      </c>
      <c r="BW23" s="111"/>
      <c r="BX23" s="111"/>
      <c r="CA23"/>
      <c r="CB23"/>
    </row>
    <row r="24" spans="1:80" x14ac:dyDescent="0.4">
      <c r="A24" s="27" t="s">
        <v>44</v>
      </c>
      <c r="B24" s="255"/>
      <c r="C24" s="5" t="s">
        <v>54</v>
      </c>
      <c r="D24" s="255"/>
      <c r="E24" s="8"/>
      <c r="F24" s="2"/>
      <c r="G24" s="27" t="s">
        <v>44</v>
      </c>
      <c r="H24" s="255"/>
      <c r="I24" s="5" t="s">
        <v>54</v>
      </c>
      <c r="J24" s="255"/>
      <c r="M24" s="172">
        <v>1</v>
      </c>
      <c r="N24" s="173">
        <v>0.1</v>
      </c>
      <c r="O24" s="171">
        <v>0.2</v>
      </c>
      <c r="P24" s="175" t="e">
        <f>2*(((O6+U4)*($I$4/$I$6))^2)</f>
        <v>#DIV/0!</v>
      </c>
      <c r="Q24" s="172">
        <v>2</v>
      </c>
      <c r="R24" s="173">
        <v>0.1</v>
      </c>
      <c r="S24" s="171">
        <v>0.2</v>
      </c>
      <c r="T24" s="175" t="e">
        <f>2*(((Q6+U4)*($I$4/$I$6))^2)</f>
        <v>#DIV/0!</v>
      </c>
      <c r="BW24" s="111"/>
      <c r="BX24" s="111"/>
      <c r="CA24"/>
      <c r="CB24"/>
    </row>
    <row r="25" spans="1:80" x14ac:dyDescent="0.4">
      <c r="A25" s="27" t="s">
        <v>45</v>
      </c>
      <c r="B25" s="255"/>
      <c r="C25" s="5" t="s">
        <v>55</v>
      </c>
      <c r="D25" s="255"/>
      <c r="E25" s="8"/>
      <c r="F25" s="2"/>
      <c r="G25" s="27" t="s">
        <v>45</v>
      </c>
      <c r="H25" s="255"/>
      <c r="I25" s="5" t="s">
        <v>55</v>
      </c>
      <c r="J25" s="255"/>
      <c r="M25" s="172">
        <v>1</v>
      </c>
      <c r="N25" s="173">
        <v>0.1</v>
      </c>
      <c r="O25" s="171">
        <v>0.15</v>
      </c>
      <c r="P25" s="175" t="e">
        <f>2*(((O6+U5)*($I$4/$I$6))^2)</f>
        <v>#DIV/0!</v>
      </c>
      <c r="Q25" s="172">
        <v>2</v>
      </c>
      <c r="R25" s="173">
        <v>0.1</v>
      </c>
      <c r="S25" s="171">
        <v>0.15</v>
      </c>
      <c r="T25" s="175" t="e">
        <f>2*(((Q6+U5)*($I$4/$I$6))^2)</f>
        <v>#DIV/0!</v>
      </c>
      <c r="BW25" s="111"/>
      <c r="BX25" s="111"/>
      <c r="CA25"/>
      <c r="CB25"/>
    </row>
    <row r="26" spans="1:80" x14ac:dyDescent="0.4">
      <c r="A26" s="27" t="s">
        <v>46</v>
      </c>
      <c r="B26" s="255"/>
      <c r="C26" s="5" t="s">
        <v>56</v>
      </c>
      <c r="D26" s="255"/>
      <c r="E26" s="8"/>
      <c r="F26" s="2"/>
      <c r="G26" s="27" t="s">
        <v>46</v>
      </c>
      <c r="H26" s="255"/>
      <c r="I26" s="5" t="s">
        <v>56</v>
      </c>
      <c r="J26" s="255"/>
      <c r="M26" s="172">
        <v>1</v>
      </c>
      <c r="N26" s="173">
        <v>0.1</v>
      </c>
      <c r="O26" s="171">
        <v>0.1</v>
      </c>
      <c r="P26" s="175" t="e">
        <f>2*(((O6+U6)*($I$4/$I$6))^2)</f>
        <v>#DIV/0!</v>
      </c>
      <c r="Q26" s="172">
        <v>2</v>
      </c>
      <c r="R26" s="173">
        <v>0.1</v>
      </c>
      <c r="S26" s="171">
        <v>0.1</v>
      </c>
      <c r="T26" s="175" t="e">
        <f>2*(((Q6+U6)*($I$4/$I$6))^2)</f>
        <v>#DIV/0!</v>
      </c>
      <c r="BW26" s="111"/>
      <c r="BX26" s="111"/>
      <c r="CA26"/>
      <c r="CB26"/>
    </row>
    <row r="27" spans="1:80" x14ac:dyDescent="0.4">
      <c r="A27" s="27" t="s">
        <v>47</v>
      </c>
      <c r="B27" s="255"/>
      <c r="C27" s="5" t="s">
        <v>57</v>
      </c>
      <c r="D27" s="255"/>
      <c r="E27" s="8"/>
      <c r="F27" s="2"/>
      <c r="G27" s="27" t="s">
        <v>47</v>
      </c>
      <c r="H27" s="255"/>
      <c r="I27" s="5" t="s">
        <v>57</v>
      </c>
      <c r="J27" s="255"/>
      <c r="M27" s="172">
        <v>1</v>
      </c>
      <c r="N27" s="173">
        <v>0.1</v>
      </c>
      <c r="O27" s="171">
        <v>0.05</v>
      </c>
      <c r="P27" s="175" t="e">
        <f>2*(((O6+U7)*($I$4/$I$6))^2)</f>
        <v>#DIV/0!</v>
      </c>
      <c r="Q27" s="172">
        <v>2</v>
      </c>
      <c r="R27" s="173">
        <v>0.1</v>
      </c>
      <c r="S27" s="171">
        <v>0.05</v>
      </c>
      <c r="T27" s="175" t="e">
        <f>2*(((Q6+U7)*($I$4/$I$6))^2)</f>
        <v>#DIV/0!</v>
      </c>
      <c r="BW27" s="111"/>
      <c r="BX27" s="111"/>
      <c r="CA27"/>
      <c r="CB27"/>
    </row>
    <row r="28" spans="1:80" x14ac:dyDescent="0.4">
      <c r="A28" s="27" t="s">
        <v>48</v>
      </c>
      <c r="B28" s="255"/>
      <c r="C28" s="5" t="s">
        <v>58</v>
      </c>
      <c r="D28" s="255"/>
      <c r="E28" s="8"/>
      <c r="F28" s="2"/>
      <c r="G28" s="27" t="s">
        <v>48</v>
      </c>
      <c r="H28" s="255"/>
      <c r="I28" s="5" t="s">
        <v>58</v>
      </c>
      <c r="J28" s="255"/>
      <c r="M28" s="172">
        <v>1</v>
      </c>
      <c r="N28" s="173">
        <v>0.1</v>
      </c>
      <c r="O28" s="171">
        <v>2.5000000000000001E-2</v>
      </c>
      <c r="P28" s="175" t="e">
        <f>2*(((O6+U8)*($I$4/$I$6))^2)</f>
        <v>#DIV/0!</v>
      </c>
      <c r="Q28" s="172">
        <v>2</v>
      </c>
      <c r="R28" s="173">
        <v>0.1</v>
      </c>
      <c r="S28" s="171">
        <v>2.5000000000000001E-2</v>
      </c>
      <c r="T28" s="175" t="e">
        <f>2*(((Q6+U8)*($I$4/$I$6))^2)</f>
        <v>#DIV/0!</v>
      </c>
      <c r="BW28" s="111"/>
      <c r="BX28" s="111"/>
      <c r="CA28"/>
      <c r="CB28"/>
    </row>
    <row r="29" spans="1:80" x14ac:dyDescent="0.4">
      <c r="A29" s="27" t="s">
        <v>49</v>
      </c>
      <c r="B29" s="255"/>
      <c r="C29" s="5" t="s">
        <v>59</v>
      </c>
      <c r="D29" s="255"/>
      <c r="E29" s="8"/>
      <c r="F29" s="2"/>
      <c r="G29" s="27" t="s">
        <v>49</v>
      </c>
      <c r="H29" s="255"/>
      <c r="I29" s="5" t="s">
        <v>59</v>
      </c>
      <c r="J29" s="255"/>
      <c r="M29" s="172">
        <v>1</v>
      </c>
      <c r="N29" s="173">
        <v>0.1</v>
      </c>
      <c r="O29" s="171">
        <v>0.01</v>
      </c>
      <c r="P29" s="175" t="e">
        <f>2*(((O6+U9)*($I$4/$I$6))^2)</f>
        <v>#DIV/0!</v>
      </c>
      <c r="Q29" s="172">
        <v>2</v>
      </c>
      <c r="R29" s="173">
        <v>0.1</v>
      </c>
      <c r="S29" s="171">
        <v>0.01</v>
      </c>
      <c r="T29" s="175" t="e">
        <f>2*(((Q6+U9)*($I$4/$I$6))^2)</f>
        <v>#DIV/0!</v>
      </c>
      <c r="BW29" s="111"/>
      <c r="BX29" s="111"/>
      <c r="CA29"/>
      <c r="CB29"/>
    </row>
    <row r="30" spans="1:80" x14ac:dyDescent="0.4">
      <c r="A30" s="27" t="s">
        <v>50</v>
      </c>
      <c r="B30" s="255"/>
      <c r="C30" s="5" t="s">
        <v>60</v>
      </c>
      <c r="D30" s="255"/>
      <c r="E30" s="8"/>
      <c r="F30" s="2"/>
      <c r="G30" s="27" t="s">
        <v>50</v>
      </c>
      <c r="H30" s="255"/>
      <c r="I30" s="5" t="s">
        <v>60</v>
      </c>
      <c r="J30" s="255"/>
      <c r="M30" s="172">
        <v>1</v>
      </c>
      <c r="N30" s="173">
        <v>0.05</v>
      </c>
      <c r="O30" s="171">
        <v>0.2</v>
      </c>
      <c r="P30" s="175" t="e">
        <f>2*(((O7+U4)*($I$4/$I$6))^2)</f>
        <v>#DIV/0!</v>
      </c>
      <c r="Q30" s="172">
        <v>2</v>
      </c>
      <c r="R30" s="173">
        <v>0.05</v>
      </c>
      <c r="S30" s="171">
        <v>0.2</v>
      </c>
      <c r="T30" s="175" t="e">
        <f>2*(((Q7+U4)*($I$4/$I$6))^2)</f>
        <v>#DIV/0!</v>
      </c>
      <c r="BW30" s="111"/>
      <c r="BX30" s="111"/>
      <c r="CA30"/>
      <c r="CB30"/>
    </row>
    <row r="31" spans="1:80" x14ac:dyDescent="0.4">
      <c r="A31" s="27" t="s">
        <v>51</v>
      </c>
      <c r="B31" s="255"/>
      <c r="C31" s="5" t="s">
        <v>61</v>
      </c>
      <c r="D31" s="255"/>
      <c r="E31" s="8"/>
      <c r="F31" s="2"/>
      <c r="G31" s="27" t="s">
        <v>51</v>
      </c>
      <c r="H31" s="255"/>
      <c r="I31" s="5" t="s">
        <v>61</v>
      </c>
      <c r="J31" s="255"/>
      <c r="M31" s="172">
        <v>1</v>
      </c>
      <c r="N31" s="173">
        <v>0.05</v>
      </c>
      <c r="O31" s="171">
        <v>0.15</v>
      </c>
      <c r="P31" s="175" t="e">
        <f>2*(((O7+U5)*($I$4/$I$6))^2)</f>
        <v>#DIV/0!</v>
      </c>
      <c r="Q31" s="172">
        <v>2</v>
      </c>
      <c r="R31" s="173">
        <v>0.05</v>
      </c>
      <c r="S31" s="171">
        <v>0.15</v>
      </c>
      <c r="T31" s="175" t="e">
        <f>2*(((Q7+U5)*($I$4/$I$6))^2)</f>
        <v>#DIV/0!</v>
      </c>
      <c r="BW31" s="111"/>
      <c r="BX31" s="111"/>
      <c r="CA31"/>
      <c r="CB31"/>
    </row>
    <row r="32" spans="1:80" x14ac:dyDescent="0.4">
      <c r="A32" s="27" t="s">
        <v>52</v>
      </c>
      <c r="B32" s="255"/>
      <c r="C32" s="5" t="s">
        <v>62</v>
      </c>
      <c r="D32" s="255"/>
      <c r="E32" s="8"/>
      <c r="F32" s="2"/>
      <c r="G32" s="27" t="s">
        <v>52</v>
      </c>
      <c r="H32" s="255"/>
      <c r="I32" s="5" t="s">
        <v>62</v>
      </c>
      <c r="J32" s="255"/>
      <c r="L32" s="12"/>
      <c r="M32" s="172">
        <v>1</v>
      </c>
      <c r="N32" s="173">
        <v>0.05</v>
      </c>
      <c r="O32" s="171">
        <v>0.1</v>
      </c>
      <c r="P32" s="175" t="e">
        <f>2*(((O7+U6)*($I$4/$I$6))^2)</f>
        <v>#DIV/0!</v>
      </c>
      <c r="Q32" s="172">
        <v>2</v>
      </c>
      <c r="R32" s="173">
        <v>0.05</v>
      </c>
      <c r="S32" s="171">
        <v>0.1</v>
      </c>
      <c r="T32" s="175" t="e">
        <f>2*(((Q7+U6)*($I$4/$I$6))^2)</f>
        <v>#DIV/0!</v>
      </c>
      <c r="BW32" s="111"/>
      <c r="BX32" s="111"/>
      <c r="CA32"/>
      <c r="CB32"/>
    </row>
    <row r="33" spans="1:80" x14ac:dyDescent="0.4">
      <c r="A33" s="27" t="s">
        <v>53</v>
      </c>
      <c r="B33" s="255"/>
      <c r="C33" s="5" t="s">
        <v>63</v>
      </c>
      <c r="D33" s="255"/>
      <c r="E33" s="2"/>
      <c r="F33" s="18"/>
      <c r="G33" s="27" t="s">
        <v>53</v>
      </c>
      <c r="H33" s="255"/>
      <c r="I33" s="5" t="s">
        <v>63</v>
      </c>
      <c r="J33" s="255"/>
      <c r="L33" s="12"/>
      <c r="M33" s="174">
        <v>1</v>
      </c>
      <c r="N33" s="173">
        <v>0.05</v>
      </c>
      <c r="O33" s="171">
        <v>0.05</v>
      </c>
      <c r="P33" s="175" t="e">
        <f>2*(((O7+U7)*($I$4/$I$6))^2)</f>
        <v>#DIV/0!</v>
      </c>
      <c r="Q33" s="174">
        <v>2</v>
      </c>
      <c r="R33" s="173">
        <v>0.05</v>
      </c>
      <c r="S33" s="171">
        <v>0.05</v>
      </c>
      <c r="T33" s="175" t="e">
        <f>2*(((Q7+U7)*($I$4/$I$6))^2)</f>
        <v>#DIV/0!</v>
      </c>
      <c r="BW33" s="111"/>
      <c r="BX33" s="111"/>
      <c r="CA33"/>
      <c r="CB33"/>
    </row>
    <row r="34" spans="1:80" x14ac:dyDescent="0.4">
      <c r="A34" s="2" t="s">
        <v>6</v>
      </c>
      <c r="B34" s="2">
        <f>COUNT($B$14:$B$33)</f>
        <v>0</v>
      </c>
      <c r="C34" s="2"/>
      <c r="D34" s="2">
        <f>COUNT($D$14:$D$33)</f>
        <v>0</v>
      </c>
      <c r="E34" s="2"/>
      <c r="F34" s="19"/>
      <c r="G34" s="2" t="s">
        <v>6</v>
      </c>
      <c r="H34" s="2">
        <f>COUNT($H$14:$H$33)</f>
        <v>0</v>
      </c>
      <c r="I34" s="2"/>
      <c r="J34" s="2">
        <f>COUNT($J$14:$J$33)</f>
        <v>0</v>
      </c>
      <c r="M34" s="172">
        <v>1</v>
      </c>
      <c r="N34" s="173">
        <v>0.05</v>
      </c>
      <c r="O34" s="171">
        <v>2.5000000000000001E-2</v>
      </c>
      <c r="P34" s="175" t="e">
        <f>2*(((O7+U8)*($I$4/$I$6))^2)</f>
        <v>#DIV/0!</v>
      </c>
      <c r="Q34" s="172">
        <v>2</v>
      </c>
      <c r="R34" s="173">
        <v>0.05</v>
      </c>
      <c r="S34" s="171">
        <v>2.5000000000000001E-2</v>
      </c>
      <c r="T34" s="175" t="e">
        <f>2*(((Q7+U8)*($I$4/$I$6))^2)</f>
        <v>#DIV/0!</v>
      </c>
      <c r="BW34" s="111"/>
      <c r="BX34" s="111"/>
      <c r="CA34"/>
      <c r="CB34"/>
    </row>
    <row r="35" spans="1:80" x14ac:dyDescent="0.4">
      <c r="A35" s="2" t="s">
        <v>1</v>
      </c>
      <c r="B35" s="13" t="e">
        <f>AVERAGE($B$14:$B$33)</f>
        <v>#DIV/0!</v>
      </c>
      <c r="C35" s="2"/>
      <c r="D35" s="13" t="e">
        <f>AVERAGE($D$14:$D$33)</f>
        <v>#DIV/0!</v>
      </c>
      <c r="E35" s="18"/>
      <c r="F35" s="13"/>
      <c r="G35" s="2" t="s">
        <v>1</v>
      </c>
      <c r="H35" s="29" t="e">
        <f>AVERAGE($H$14:$H$33)</f>
        <v>#DIV/0!</v>
      </c>
      <c r="I35" s="2"/>
      <c r="J35" s="2" t="e">
        <f>AVERAGE($J$14:$J$33)</f>
        <v>#DIV/0!</v>
      </c>
      <c r="M35" s="172">
        <v>1</v>
      </c>
      <c r="N35" s="173">
        <v>0.05</v>
      </c>
      <c r="O35" s="171">
        <v>0.01</v>
      </c>
      <c r="P35" s="175" t="e">
        <f>2*(((O7+U9)*($I$4/$I$6))^2)</f>
        <v>#DIV/0!</v>
      </c>
      <c r="Q35" s="172">
        <v>2</v>
      </c>
      <c r="R35" s="173">
        <v>0.05</v>
      </c>
      <c r="S35" s="171">
        <v>0.01</v>
      </c>
      <c r="T35" s="175" t="e">
        <f>2*(((Q7+U9)*($I$4/$I$6))^2)</f>
        <v>#DIV/0!</v>
      </c>
      <c r="BW35" s="111"/>
      <c r="BX35" s="111"/>
      <c r="CA35"/>
      <c r="CB35"/>
    </row>
    <row r="36" spans="1:80" x14ac:dyDescent="0.4">
      <c r="A36" s="2" t="s">
        <v>3</v>
      </c>
      <c r="B36" s="13" t="e">
        <f>STDEV($B$14:$B$33)</f>
        <v>#DIV/0!</v>
      </c>
      <c r="C36" s="18"/>
      <c r="D36" s="13" t="e">
        <f>STDEV($D$14:$D$33)</f>
        <v>#DIV/0!</v>
      </c>
      <c r="E36" s="19"/>
      <c r="F36" s="13"/>
      <c r="G36" s="2" t="s">
        <v>3</v>
      </c>
      <c r="H36" s="29" t="e">
        <f>STDEV($H$14:$H$33)</f>
        <v>#DIV/0!</v>
      </c>
      <c r="I36" s="18"/>
      <c r="J36" s="29" t="e">
        <f>STDEV($J$14:$J$33)</f>
        <v>#DIV/0!</v>
      </c>
      <c r="M36" s="172">
        <v>1</v>
      </c>
      <c r="N36" s="173">
        <v>2.5000000000000001E-2</v>
      </c>
      <c r="O36" s="171">
        <v>0.2</v>
      </c>
      <c r="P36" s="175" t="e">
        <f>2*(((O8+U4)*($I$4/$I$6))^2)</f>
        <v>#DIV/0!</v>
      </c>
      <c r="Q36" s="172">
        <v>2</v>
      </c>
      <c r="R36" s="173">
        <v>2.5000000000000001E-2</v>
      </c>
      <c r="S36" s="171">
        <v>0.2</v>
      </c>
      <c r="T36" s="175" t="e">
        <f>2*(((Q8+U4)*($I$4/$I$6))^2)</f>
        <v>#DIV/0!</v>
      </c>
      <c r="BW36" s="111"/>
      <c r="BX36" s="111"/>
      <c r="CA36"/>
      <c r="CB36"/>
    </row>
    <row r="37" spans="1:80" x14ac:dyDescent="0.4">
      <c r="A37" s="2" t="s">
        <v>0</v>
      </c>
      <c r="B37" s="19" t="e">
        <f>$B$36/$B$35</f>
        <v>#DIV/0!</v>
      </c>
      <c r="C37" s="19"/>
      <c r="D37" s="19" t="e">
        <f>$D$36/$D$35</f>
        <v>#DIV/0!</v>
      </c>
      <c r="E37" s="23"/>
      <c r="G37" s="2" t="s">
        <v>0</v>
      </c>
      <c r="H37" s="19" t="e">
        <f>$H$36/$H$35</f>
        <v>#DIV/0!</v>
      </c>
      <c r="I37" s="19"/>
      <c r="J37" s="19" t="e">
        <f>$J$36/$J$35</f>
        <v>#DIV/0!</v>
      </c>
      <c r="M37" s="172">
        <v>1</v>
      </c>
      <c r="N37" s="173">
        <v>2.5000000000000001E-2</v>
      </c>
      <c r="O37" s="171">
        <v>0.15</v>
      </c>
      <c r="P37" s="175" t="e">
        <f>2*(((O8+U5)*($I$4/$I$6))^2)</f>
        <v>#DIV/0!</v>
      </c>
      <c r="Q37" s="172">
        <v>2</v>
      </c>
      <c r="R37" s="173">
        <v>2.5000000000000001E-2</v>
      </c>
      <c r="S37" s="171">
        <v>0.15</v>
      </c>
      <c r="T37" s="175" t="e">
        <f>2*(((Q8+U5)*($I$4/$I$6))^2)</f>
        <v>#DIV/0!</v>
      </c>
      <c r="BW37" s="111"/>
      <c r="BX37" s="111"/>
      <c r="CA37"/>
      <c r="CB37"/>
    </row>
    <row r="38" spans="1:80" x14ac:dyDescent="0.4">
      <c r="A38" s="156" t="s">
        <v>177</v>
      </c>
      <c r="B38" s="19"/>
      <c r="C38" s="19"/>
      <c r="D38" s="23" t="e">
        <f>_xlfn.T.TEST($B$14:$B$33,$D$14:$D$33,1,2)</f>
        <v>#DIV/0!</v>
      </c>
      <c r="E38" s="23"/>
      <c r="G38" s="156" t="s">
        <v>177</v>
      </c>
      <c r="H38" s="19"/>
      <c r="I38" s="19"/>
      <c r="J38" s="23" t="e">
        <f>_xlfn.T.TEST($H$14:$H$33,$J$14:$J$33,1,2)</f>
        <v>#DIV/0!</v>
      </c>
      <c r="M38" s="172">
        <v>1</v>
      </c>
      <c r="N38" s="173">
        <v>2.5000000000000001E-2</v>
      </c>
      <c r="O38" s="171">
        <v>0.1</v>
      </c>
      <c r="P38" s="175" t="e">
        <f>2*(((O8+U6)*($I$4/$I$6))^2)</f>
        <v>#DIV/0!</v>
      </c>
      <c r="Q38" s="172">
        <v>2</v>
      </c>
      <c r="R38" s="173">
        <v>2.5000000000000001E-2</v>
      </c>
      <c r="S38" s="171">
        <v>0.1</v>
      </c>
      <c r="T38" s="175" t="e">
        <f>2*(((Q8+U6)*($I$4/$I$6))^2)</f>
        <v>#DIV/0!</v>
      </c>
      <c r="BW38" s="111"/>
      <c r="BX38" s="111"/>
      <c r="CA38"/>
      <c r="CB38"/>
    </row>
    <row r="39" spans="1:80" x14ac:dyDescent="0.4">
      <c r="A39" s="156" t="s">
        <v>159</v>
      </c>
      <c r="B39" s="23"/>
      <c r="C39" s="23"/>
      <c r="D39" s="23" t="e">
        <f>_xlfn.T.TEST($B$14:$B$33,$D$14:$D$33,2,2)</f>
        <v>#DIV/0!</v>
      </c>
      <c r="E39" s="23"/>
      <c r="G39" s="156" t="s">
        <v>159</v>
      </c>
      <c r="H39" s="23"/>
      <c r="I39" s="23"/>
      <c r="J39" s="23" t="e">
        <f>_xlfn.T.TEST($H$14:$H$33,$J$14:$J$33,2,2)</f>
        <v>#DIV/0!</v>
      </c>
      <c r="M39" s="172">
        <v>1</v>
      </c>
      <c r="N39" s="173">
        <v>2.5000000000000001E-2</v>
      </c>
      <c r="O39" s="171">
        <v>0.05</v>
      </c>
      <c r="P39" s="175" t="e">
        <f>2*(((O8+U7)*($I$4/$I$6))^2)</f>
        <v>#DIV/0!</v>
      </c>
      <c r="Q39" s="172">
        <v>2</v>
      </c>
      <c r="R39" s="173">
        <v>2.5000000000000001E-2</v>
      </c>
      <c r="S39" s="171">
        <v>0.05</v>
      </c>
      <c r="T39" s="175" t="e">
        <f>2*(((Q8+U7)*($I$4/$I$6))^2)</f>
        <v>#DIV/0!</v>
      </c>
      <c r="BW39" s="111"/>
      <c r="BX39" s="111"/>
      <c r="CA39"/>
      <c r="CB39"/>
    </row>
    <row r="40" spans="1:80" x14ac:dyDescent="0.4">
      <c r="A40" s="6"/>
      <c r="B40" s="23"/>
      <c r="C40" s="23"/>
      <c r="E40" s="23"/>
      <c r="G40" s="3"/>
      <c r="H40" s="13"/>
      <c r="I40" s="13"/>
      <c r="J40" s="13"/>
      <c r="M40" s="172">
        <v>1</v>
      </c>
      <c r="N40" s="173">
        <v>2.5000000000000001E-2</v>
      </c>
      <c r="O40" s="171">
        <v>2.5000000000000001E-2</v>
      </c>
      <c r="P40" s="175" t="e">
        <f>2*(((O8+U8)*($I$4/$I$6))^2)</f>
        <v>#DIV/0!</v>
      </c>
      <c r="Q40" s="172">
        <v>2</v>
      </c>
      <c r="R40" s="173">
        <v>2.5000000000000001E-2</v>
      </c>
      <c r="S40" s="171">
        <v>2.5000000000000001E-2</v>
      </c>
      <c r="T40" s="175" t="e">
        <f>2*(((Q8+U8)*($I$4/$I$6))^2)</f>
        <v>#DIV/0!</v>
      </c>
      <c r="BW40" s="111"/>
      <c r="BX40" s="111"/>
      <c r="CA40"/>
      <c r="CB40"/>
    </row>
    <row r="41" spans="1:80" x14ac:dyDescent="0.4">
      <c r="A41" t="s">
        <v>29</v>
      </c>
      <c r="E41" s="29" t="e">
        <f>$D$35-$B$35</f>
        <v>#DIV/0!</v>
      </c>
      <c r="G41" t="s">
        <v>29</v>
      </c>
      <c r="K41" s="29" t="e">
        <f>$J$35-$H$35</f>
        <v>#DIV/0!</v>
      </c>
      <c r="M41" s="172">
        <v>1</v>
      </c>
      <c r="N41" s="173">
        <v>2.5000000000000001E-2</v>
      </c>
      <c r="O41" s="171">
        <v>0.01</v>
      </c>
      <c r="P41" s="175" t="e">
        <f>2*(((O8+U9)*($I$4/$I$6))^2)</f>
        <v>#DIV/0!</v>
      </c>
      <c r="Q41" s="172">
        <v>2</v>
      </c>
      <c r="R41" s="173">
        <v>2.5000000000000001E-2</v>
      </c>
      <c r="S41" s="171">
        <v>0.01</v>
      </c>
      <c r="T41" s="175" t="e">
        <f>2*(((Q8+U9)*($I$4/$I$6))^2)</f>
        <v>#DIV/0!</v>
      </c>
      <c r="BW41" s="111"/>
      <c r="BX41" s="111"/>
      <c r="CA41"/>
      <c r="CB41"/>
    </row>
    <row r="42" spans="1:80" x14ac:dyDescent="0.4">
      <c r="A42" s="49" t="s">
        <v>129</v>
      </c>
      <c r="E42" s="122" t="e">
        <f>$E$41/$B$35</f>
        <v>#DIV/0!</v>
      </c>
      <c r="G42" s="49" t="s">
        <v>129</v>
      </c>
      <c r="K42" s="122" t="e">
        <f>$K$41/$H$35</f>
        <v>#DIV/0!</v>
      </c>
      <c r="M42" s="172">
        <v>1</v>
      </c>
      <c r="N42" s="173">
        <v>0.01</v>
      </c>
      <c r="O42" s="171">
        <v>0.2</v>
      </c>
      <c r="P42" s="175" t="e">
        <f>2*(((O9+U4)*($I$4/$I$6))^2)</f>
        <v>#DIV/0!</v>
      </c>
      <c r="Q42" s="172">
        <v>2</v>
      </c>
      <c r="R42" s="173">
        <v>0.01</v>
      </c>
      <c r="S42" s="171">
        <v>0.2</v>
      </c>
      <c r="T42" s="175" t="e">
        <f>2*(((Q9+U4)*($I$4/$I$6))^2)</f>
        <v>#DIV/0!</v>
      </c>
      <c r="BW42" s="111"/>
      <c r="BX42" s="111"/>
      <c r="CA42"/>
      <c r="CB42"/>
    </row>
    <row r="43" spans="1:80" x14ac:dyDescent="0.4">
      <c r="A43" s="49" t="s">
        <v>117</v>
      </c>
      <c r="E43" s="18" t="e">
        <f>$E$41+$O$55</f>
        <v>#DIV/0!</v>
      </c>
      <c r="F43" s="1"/>
      <c r="G43" s="49" t="s">
        <v>117</v>
      </c>
      <c r="K43" s="18" t="e">
        <f>$K$41+$O$62</f>
        <v>#DIV/0!</v>
      </c>
      <c r="M43" s="172">
        <v>1</v>
      </c>
      <c r="N43" s="173">
        <v>0.01</v>
      </c>
      <c r="O43" s="171">
        <v>0.15</v>
      </c>
      <c r="P43" s="175" t="e">
        <f>2*(((O9+U5)*($I$4/$I$6))^2)</f>
        <v>#DIV/0!</v>
      </c>
      <c r="Q43" s="172">
        <v>2</v>
      </c>
      <c r="R43" s="173">
        <v>0.01</v>
      </c>
      <c r="S43" s="171">
        <v>0.15</v>
      </c>
      <c r="T43" s="175" t="e">
        <f>2*(((Q9+U5)*($I$4/$I$6))^2)</f>
        <v>#DIV/0!</v>
      </c>
      <c r="V43" s="1"/>
      <c r="BW43" s="111"/>
      <c r="BX43" s="111"/>
      <c r="CA43"/>
      <c r="CB43"/>
    </row>
    <row r="44" spans="1:80" s="1" customFormat="1" x14ac:dyDescent="0.4">
      <c r="A44" s="49" t="s">
        <v>118</v>
      </c>
      <c r="B44"/>
      <c r="C44"/>
      <c r="D44"/>
      <c r="E44" s="18" t="e">
        <f>E41-O55</f>
        <v>#DIV/0!</v>
      </c>
      <c r="G44" s="49" t="s">
        <v>118</v>
      </c>
      <c r="H44"/>
      <c r="I44"/>
      <c r="J44"/>
      <c r="K44" s="18" t="e">
        <f>$K$41-$O$62</f>
        <v>#DIV/0!</v>
      </c>
      <c r="M44" s="172">
        <v>1</v>
      </c>
      <c r="N44" s="173">
        <v>0.01</v>
      </c>
      <c r="O44" s="171">
        <v>0.1</v>
      </c>
      <c r="P44" s="175" t="e">
        <f>2*(((O9+U6)*($I$4/$I$6))^2)</f>
        <v>#DIV/0!</v>
      </c>
      <c r="Q44" s="172">
        <v>2</v>
      </c>
      <c r="R44" s="173">
        <v>0.01</v>
      </c>
      <c r="S44" s="171">
        <v>0.1</v>
      </c>
      <c r="T44" s="175" t="e">
        <f>2*(((Q9+U6)*($I$4/$I$6))^2)</f>
        <v>#DIV/0!</v>
      </c>
      <c r="BW44" s="112"/>
      <c r="BX44" s="112"/>
      <c r="BY44" s="111"/>
      <c r="BZ44" s="111"/>
    </row>
    <row r="45" spans="1:80" s="1" customFormat="1" x14ac:dyDescent="0.4">
      <c r="A45"/>
      <c r="B45"/>
      <c r="C45"/>
      <c r="D45" s="18"/>
      <c r="E45" s="18"/>
      <c r="G45"/>
      <c r="H45"/>
      <c r="I45"/>
      <c r="J45" s="18"/>
      <c r="K45"/>
      <c r="M45" s="172">
        <v>1</v>
      </c>
      <c r="N45" s="173">
        <v>0.01</v>
      </c>
      <c r="O45" s="171">
        <v>0.05</v>
      </c>
      <c r="P45" s="175" t="e">
        <f>2*(((O9+U7)*($I$4/$I$6))^2)</f>
        <v>#DIV/0!</v>
      </c>
      <c r="Q45" s="172">
        <v>2</v>
      </c>
      <c r="R45" s="173">
        <v>0.01</v>
      </c>
      <c r="S45" s="171">
        <v>0.05</v>
      </c>
      <c r="T45" s="175" t="e">
        <f>2*(((Q9+U7)*($I$4/$I$6))^2)</f>
        <v>#DIV/0!</v>
      </c>
      <c r="BW45" s="112"/>
      <c r="BX45" s="112"/>
      <c r="BY45" s="111"/>
      <c r="BZ45" s="111"/>
    </row>
    <row r="46" spans="1:80" s="1" customFormat="1" x14ac:dyDescent="0.4">
      <c r="A46" s="21" t="s">
        <v>64</v>
      </c>
      <c r="D46" s="20"/>
      <c r="E46" s="20"/>
      <c r="M46" s="172">
        <v>1</v>
      </c>
      <c r="N46" s="173">
        <v>0.01</v>
      </c>
      <c r="O46" s="171">
        <v>2.5000000000000001E-2</v>
      </c>
      <c r="P46" s="175" t="e">
        <f>2*(((O9+U8)*($I$4/$I$6))^2)</f>
        <v>#DIV/0!</v>
      </c>
      <c r="Q46" s="172">
        <v>2</v>
      </c>
      <c r="R46" s="173">
        <v>0.01</v>
      </c>
      <c r="S46" s="171">
        <v>2.5000000000000001E-2</v>
      </c>
      <c r="T46" s="175" t="e">
        <f>2*(((Q9+U8)*($I$4/$I$6))^2)</f>
        <v>#DIV/0!</v>
      </c>
      <c r="BW46" s="112"/>
      <c r="BX46" s="112"/>
      <c r="BY46" s="111"/>
      <c r="BZ46" s="111"/>
    </row>
    <row r="47" spans="1:80" s="1" customFormat="1" x14ac:dyDescent="0.4">
      <c r="A47" s="12" t="e">
        <f>IF(D$38&gt;=0.05, "The difference between Test and Control Pools is NOT statistically significant.", "The difference between Test and Control Pools IS statistically significant with a 1-tailed test.")</f>
        <v>#DIV/0!</v>
      </c>
      <c r="D47" s="20"/>
      <c r="E47" s="20"/>
      <c r="M47" s="172">
        <v>1</v>
      </c>
      <c r="N47" s="173">
        <v>0.01</v>
      </c>
      <c r="O47" s="171">
        <v>0.01</v>
      </c>
      <c r="P47" s="175" t="e">
        <f>2*(((O9+U9)*($I$4/$I$6))^2)</f>
        <v>#DIV/0!</v>
      </c>
      <c r="Q47" s="172">
        <v>2</v>
      </c>
      <c r="R47" s="173">
        <v>0.01</v>
      </c>
      <c r="S47" s="171">
        <v>0.01</v>
      </c>
      <c r="T47" s="175" t="e">
        <f>2*(((Q9+U9)*($I$4/$I$6))^2)</f>
        <v>#DIV/0!</v>
      </c>
      <c r="BW47" s="112"/>
      <c r="BX47" s="112"/>
      <c r="BY47" s="111"/>
      <c r="BZ47" s="111"/>
    </row>
    <row r="48" spans="1:80" s="1" customFormat="1" x14ac:dyDescent="0.4">
      <c r="A48" s="12" t="e">
        <f>IF(D$39&gt;=0.05, "The difference between Test and Control Pools is NOT statistically significant.", "The difference between Test and Control Pools IS statistically significant with a 2-tailed test.")</f>
        <v>#DIV/0!</v>
      </c>
      <c r="D48" s="20"/>
      <c r="E48" s="20"/>
      <c r="M48" s="172"/>
      <c r="N48" s="173"/>
      <c r="O48" s="171"/>
      <c r="P48" s="175"/>
      <c r="Q48" s="172"/>
      <c r="R48" s="173"/>
      <c r="S48" s="171"/>
      <c r="T48" s="175"/>
      <c r="BW48" s="112"/>
      <c r="BX48" s="112"/>
      <c r="BY48" s="111"/>
      <c r="BZ48" s="111"/>
    </row>
    <row r="49" spans="1:80" s="1" customFormat="1" x14ac:dyDescent="0.4">
      <c r="A49" s="1" t="e">
        <f>IF(OR(ABS($E$41)&lt;=$I$6,ABS($E$42)&lt;=$I$5), "The difference is &lt; the acceptable limit (Dmax), indicating that Interference is NOT Clinically Significant", "The difference is &gt; the acceptable limit (Dmax), indicating that Interference is Clinically Significant")</f>
        <v>#DIV/0!</v>
      </c>
      <c r="D49" s="20"/>
      <c r="E49" s="20"/>
      <c r="M49"/>
      <c r="N49"/>
      <c r="O49"/>
      <c r="P49"/>
      <c r="Q49"/>
      <c r="R49"/>
      <c r="S49"/>
      <c r="T49"/>
      <c r="V49"/>
      <c r="BW49" s="112"/>
      <c r="BX49" s="112"/>
      <c r="BY49" s="111"/>
      <c r="BZ49" s="111"/>
    </row>
    <row r="50" spans="1:80" x14ac:dyDescent="0.4">
      <c r="A50" s="21"/>
      <c r="B50" s="1"/>
      <c r="C50" s="1"/>
      <c r="D50" s="20"/>
      <c r="E50" s="20"/>
      <c r="G50" s="1"/>
      <c r="H50" s="1"/>
      <c r="I50" s="1"/>
      <c r="J50" s="1"/>
      <c r="K50" s="1"/>
      <c r="N50" s="1" t="s">
        <v>33</v>
      </c>
      <c r="Q50" s="1"/>
    </row>
    <row r="51" spans="1:80" x14ac:dyDescent="0.4">
      <c r="A51" s="21" t="s">
        <v>65</v>
      </c>
      <c r="B51" s="1"/>
      <c r="C51" s="1"/>
      <c r="D51" s="20"/>
      <c r="E51" s="20"/>
      <c r="G51" s="1"/>
      <c r="H51" s="1"/>
      <c r="I51" s="1"/>
      <c r="J51" s="1"/>
      <c r="K51" s="1"/>
      <c r="N51" s="49" t="s">
        <v>151</v>
      </c>
      <c r="O51">
        <v>0.05</v>
      </c>
    </row>
    <row r="52" spans="1:80" x14ac:dyDescent="0.4">
      <c r="A52" s="12" t="e">
        <f>IF(J$38&gt;=0.05, "The difference between Test and Control Pools is NOT statistically significant.", "The difference between Test and Control Pools IS statistically significant with a 1-tailed test.")</f>
        <v>#DIV/0!</v>
      </c>
      <c r="D52" s="18"/>
      <c r="E52" s="18"/>
      <c r="F52" s="1"/>
      <c r="G52" s="12"/>
      <c r="M52" s="1"/>
      <c r="N52" s="49" t="s">
        <v>79</v>
      </c>
      <c r="O52">
        <f>$B$34+$D$34-2</f>
        <v>-2</v>
      </c>
      <c r="Q52" s="49" t="s">
        <v>223</v>
      </c>
      <c r="R52" s="1"/>
      <c r="S52" s="1"/>
      <c r="T52" s="1"/>
      <c r="V52" s="1"/>
    </row>
    <row r="53" spans="1:80" s="1" customFormat="1" x14ac:dyDescent="0.4">
      <c r="A53" s="12" t="e">
        <f>IF(J$39&gt;=0.05, "The difference between Test and Control Pools is NOT statistically significant.", "The difference between Test and Control Pools IS statistically significant with a 2-tailed test.")</f>
        <v>#DIV/0!</v>
      </c>
      <c r="B53"/>
      <c r="C53"/>
      <c r="D53" s="18"/>
      <c r="E53" s="18"/>
      <c r="G53" s="12"/>
      <c r="H53"/>
      <c r="I53"/>
      <c r="J53"/>
      <c r="K53"/>
      <c r="M53"/>
      <c r="N53" s="49" t="s">
        <v>150</v>
      </c>
      <c r="O53" t="e">
        <f>_xlfn.T.INV.2T($O$51,$O$52)</f>
        <v>#NUM!</v>
      </c>
      <c r="P53"/>
      <c r="Q53" s="49" t="s">
        <v>224</v>
      </c>
      <c r="R53"/>
      <c r="S53"/>
      <c r="T53"/>
      <c r="V53"/>
      <c r="BY53" s="112"/>
      <c r="BZ53" s="112"/>
      <c r="CA53" s="112"/>
      <c r="CB53" s="112"/>
    </row>
    <row r="54" spans="1:80" x14ac:dyDescent="0.4">
      <c r="A54" s="1" t="e">
        <f>IF(OR(ABS($K$41)&lt;=$I$6, ABS($K$42)&lt;$I$5),"The difference is &lt; the acceptable limit (Dmax), indicating that Interference is NOT Clinically Significant", "The difference is &gt; the acceptable limit (Dmax), indicating that Interference is Clinically Significant")</f>
        <v>#DIV/0!</v>
      </c>
      <c r="D54" s="18"/>
      <c r="E54" s="18"/>
      <c r="J54" s="12"/>
      <c r="O54" s="49" t="e">
        <f>SQRT((($B$36^2)/$B$34)+(($D$36^2)/$D$34))</f>
        <v>#DIV/0!</v>
      </c>
      <c r="Q54" t="s">
        <v>225</v>
      </c>
      <c r="BV54" s="111"/>
      <c r="BW54" s="111"/>
      <c r="BX54" s="111"/>
      <c r="BZ54"/>
      <c r="CA54"/>
      <c r="CB54"/>
    </row>
    <row r="55" spans="1:80" x14ac:dyDescent="0.4">
      <c r="J55" s="12"/>
      <c r="M55" s="1"/>
      <c r="N55" s="49" t="s">
        <v>176</v>
      </c>
      <c r="O55" s="49" t="e">
        <f>$O$53*$O$54</f>
        <v>#NUM!</v>
      </c>
      <c r="Q55" s="49" t="s">
        <v>226</v>
      </c>
      <c r="R55" s="1"/>
      <c r="S55" s="1"/>
      <c r="T55" s="1"/>
      <c r="V55" s="1"/>
    </row>
    <row r="56" spans="1:80" s="1" customFormat="1" x14ac:dyDescent="0.4">
      <c r="A56"/>
      <c r="B56"/>
      <c r="C56"/>
      <c r="D56"/>
      <c r="E56"/>
      <c r="F56"/>
      <c r="G56"/>
      <c r="H56"/>
      <c r="I56"/>
      <c r="L56"/>
      <c r="M56"/>
      <c r="N56"/>
      <c r="O56"/>
      <c r="P56"/>
      <c r="Q56"/>
      <c r="R56"/>
      <c r="S56"/>
      <c r="T56"/>
      <c r="V56"/>
      <c r="BY56" s="112"/>
      <c r="BZ56" s="112"/>
      <c r="CA56" s="112"/>
      <c r="CB56" s="112"/>
    </row>
    <row r="57" spans="1:80" x14ac:dyDescent="0.4">
      <c r="A57" s="1" t="s">
        <v>66</v>
      </c>
      <c r="B57" s="1"/>
      <c r="C57" s="1"/>
      <c r="D57" s="1"/>
      <c r="E57" s="1"/>
      <c r="F57" s="1" t="s">
        <v>5</v>
      </c>
      <c r="G57" s="1"/>
      <c r="H57" s="1"/>
      <c r="I57" s="1"/>
      <c r="L57" s="1"/>
      <c r="N57" s="1" t="s">
        <v>34</v>
      </c>
      <c r="P57" s="1"/>
    </row>
    <row r="58" spans="1:80" x14ac:dyDescent="0.4">
      <c r="J58" s="253"/>
      <c r="N58" s="49" t="s">
        <v>151</v>
      </c>
      <c r="O58">
        <v>0.05</v>
      </c>
      <c r="P58" s="1"/>
    </row>
    <row r="59" spans="1:80" x14ac:dyDescent="0.4">
      <c r="B59" s="253"/>
      <c r="C59" s="253"/>
      <c r="D59" s="253"/>
      <c r="E59" s="253"/>
      <c r="G59" s="253"/>
      <c r="H59" s="253"/>
      <c r="I59" s="253"/>
      <c r="J59" s="246"/>
      <c r="K59" s="1"/>
      <c r="N59" s="49" t="s">
        <v>79</v>
      </c>
      <c r="O59">
        <f>$H$34+$J$34-2</f>
        <v>-2</v>
      </c>
      <c r="P59" s="1"/>
      <c r="Q59" s="49" t="s">
        <v>227</v>
      </c>
    </row>
    <row r="60" spans="1:80" x14ac:dyDescent="0.4">
      <c r="A60" s="1" t="s">
        <v>67</v>
      </c>
      <c r="B60" s="246"/>
      <c r="C60" s="246"/>
      <c r="D60" s="246"/>
      <c r="E60" s="246"/>
      <c r="G60" s="246"/>
      <c r="H60" s="246"/>
      <c r="I60" s="246"/>
      <c r="N60" s="49" t="s">
        <v>150</v>
      </c>
      <c r="O60" t="e">
        <f>_xlfn.T.INV.2T($O$58,$O$59)</f>
        <v>#NUM!</v>
      </c>
      <c r="P60" s="1"/>
      <c r="Q60" s="49" t="s">
        <v>228</v>
      </c>
    </row>
    <row r="61" spans="1:80" x14ac:dyDescent="0.4">
      <c r="O61" t="e">
        <f>SQRT((($H$36^2)/$H$34)+(($J$36^2)/$J$34))</f>
        <v>#DIV/0!</v>
      </c>
      <c r="P61" s="1"/>
      <c r="Q61" s="49" t="s">
        <v>229</v>
      </c>
    </row>
    <row r="62" spans="1:80" x14ac:dyDescent="0.4">
      <c r="A62" s="49" t="s">
        <v>131</v>
      </c>
      <c r="N62" s="49" t="s">
        <v>176</v>
      </c>
      <c r="O62" t="e">
        <f>$O$60*$O$61</f>
        <v>#NUM!</v>
      </c>
      <c r="Q62" s="49" t="s">
        <v>230</v>
      </c>
    </row>
    <row r="63" spans="1:80" x14ac:dyDescent="0.4">
      <c r="A63">
        <v>1</v>
      </c>
      <c r="B63" s="49" t="s">
        <v>158</v>
      </c>
      <c r="N63" s="1"/>
      <c r="O63" s="1"/>
    </row>
    <row r="64" spans="1:80" x14ac:dyDescent="0.4">
      <c r="A64">
        <v>2</v>
      </c>
      <c r="B64" s="49" t="s">
        <v>133</v>
      </c>
      <c r="N64" s="1"/>
      <c r="O64" s="1"/>
    </row>
    <row r="65" spans="1:16" x14ac:dyDescent="0.4">
      <c r="A65">
        <v>3</v>
      </c>
      <c r="B65" s="49" t="s">
        <v>234</v>
      </c>
      <c r="N65" s="1"/>
      <c r="O65" s="1"/>
      <c r="P65" s="1"/>
    </row>
    <row r="66" spans="1:16" x14ac:dyDescent="0.4">
      <c r="N66" s="1"/>
      <c r="O66" s="1"/>
    </row>
    <row r="67" spans="1:16" x14ac:dyDescent="0.4">
      <c r="N67" s="1"/>
      <c r="O67" s="1"/>
    </row>
    <row r="68" spans="1:16" x14ac:dyDescent="0.4">
      <c r="P68" s="1"/>
    </row>
    <row r="71" spans="1:16" x14ac:dyDescent="0.4">
      <c r="N71" s="1"/>
      <c r="O71" s="1"/>
    </row>
    <row r="74" spans="1:16" x14ac:dyDescent="0.4">
      <c r="N74" s="1"/>
      <c r="O74" s="1"/>
    </row>
  </sheetData>
  <sheetProtection selectLockedCells="1"/>
  <protectedRanges>
    <protectedRange algorithmName="SHA-512" hashValue="4KY1Cay0asyut3KHg0yQpyNVFIDMMeZBDcKFIJUeq15ERCCU5kJiSEAuvmG/h++6yHTxOLdzIdNkxkfOQtMS9A==" saltValue="l/8yh7tUp4iptvVaPL8xIw==" spinCount="100000" sqref="C3:D9 I3:I8 I11" name="Range1"/>
    <protectedRange algorithmName="SHA-512" hashValue="d4mfU+lK8w0dKPiGLCZvHQB9ZRGzoo6sihpPs4kuGabLnddE3hDAIBUqoS3elO8+cBs2nAXFdQ7+llf+NmKR5Q==" saltValue="/T0u8uGDKJwKDVfpTxcW5g==" spinCount="100000" sqref="B14:B33 D14:D33 H14:H33 J14:J33" name="Range2"/>
  </protectedRanges>
  <mergeCells count="34">
    <mergeCell ref="K2:L2"/>
    <mergeCell ref="M2:N2"/>
    <mergeCell ref="A3:B3"/>
    <mergeCell ref="C3:D3"/>
    <mergeCell ref="F3:H3"/>
    <mergeCell ref="I3:J3"/>
    <mergeCell ref="W4:X4"/>
    <mergeCell ref="A6:B6"/>
    <mergeCell ref="C6:D6"/>
    <mergeCell ref="F6:H6"/>
    <mergeCell ref="I6:J6"/>
    <mergeCell ref="A5:B5"/>
    <mergeCell ref="C5:D5"/>
    <mergeCell ref="I5:J5"/>
    <mergeCell ref="A4:B4"/>
    <mergeCell ref="C4:D4"/>
    <mergeCell ref="F4:H4"/>
    <mergeCell ref="I4:J4"/>
    <mergeCell ref="A7:B7"/>
    <mergeCell ref="C7:D7"/>
    <mergeCell ref="F7:H7"/>
    <mergeCell ref="I7:J7"/>
    <mergeCell ref="F10:H10"/>
    <mergeCell ref="I10:J10"/>
    <mergeCell ref="F11:H11"/>
    <mergeCell ref="I11:J11"/>
    <mergeCell ref="A8:B8"/>
    <mergeCell ref="C8:D8"/>
    <mergeCell ref="F8:H8"/>
    <mergeCell ref="I8:J8"/>
    <mergeCell ref="A9:B9"/>
    <mergeCell ref="C9:D9"/>
    <mergeCell ref="F9:H9"/>
    <mergeCell ref="I9:J9"/>
  </mergeCells>
  <dataValidations count="2">
    <dataValidation type="list" allowBlank="1" showInputMessage="1" showErrorMessage="1" sqref="I8:J8" xr:uid="{95706509-73A0-47AB-BD1F-7360EF652C65}">
      <formula1>$S$4:$S$9</formula1>
    </dataValidation>
    <dataValidation type="list" allowBlank="1" showInputMessage="1" showErrorMessage="1" sqref="I7" xr:uid="{CC16EF39-EA1C-4AFE-B8D7-A54A9DFB9F39}">
      <formula1>$M$4:$M$9</formula1>
    </dataValidation>
  </dataValidations>
  <pageMargins left="0.7" right="0.7" top="0.75" bottom="0.75" header="0.3" footer="0.3"/>
  <pageSetup scale="43" orientation="portrait" r:id="rId1"/>
  <headerFooter>
    <oddHeader>&amp;C&amp;G</oddHeader>
    <oddFooter xml:space="preserve">&amp;RSunDx INTWKSHT20191021
</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FG112"/>
  <sheetViews>
    <sheetView topLeftCell="A3" zoomScale="80" zoomScaleNormal="80" workbookViewId="0">
      <selection activeCell="C3" sqref="C3:D3"/>
    </sheetView>
  </sheetViews>
  <sheetFormatPr defaultColWidth="9.1171875" defaultRowHeight="12.7" x14ac:dyDescent="0.4"/>
  <cols>
    <col min="1" max="1" width="19.64453125" style="252" customWidth="1"/>
    <col min="2" max="2" width="19.234375" style="252" customWidth="1"/>
    <col min="3" max="3" width="14.52734375" style="252" customWidth="1"/>
    <col min="4" max="4" width="14.1171875" style="252" customWidth="1"/>
    <col min="5" max="5" width="17.87890625" style="252" customWidth="1"/>
    <col min="6" max="6" width="17.64453125" style="252" customWidth="1"/>
    <col min="7" max="7" width="13.41015625" style="252" customWidth="1"/>
    <col min="8" max="8" width="13.64453125" style="252" customWidth="1"/>
    <col min="9" max="9" width="9.87890625" style="252" customWidth="1"/>
    <col min="10" max="10" width="12.64453125" style="252" customWidth="1"/>
    <col min="11" max="11" width="11.41015625" style="252" customWidth="1"/>
    <col min="12" max="12" width="12.64453125" style="252" customWidth="1"/>
    <col min="13" max="13" width="3.234375" style="252" customWidth="1"/>
    <col min="14" max="14" width="14.87890625" style="67" customWidth="1"/>
    <col min="15" max="15" width="14.234375" style="67" customWidth="1"/>
    <col min="16" max="16" width="14.41015625" style="67" customWidth="1"/>
    <col min="17" max="17" width="14" style="67" customWidth="1"/>
    <col min="18" max="18" width="14.87890625" style="67" customWidth="1"/>
    <col min="19" max="19" width="13.87890625" style="67" customWidth="1"/>
    <col min="20" max="20" width="14.87890625" style="67" customWidth="1"/>
    <col min="21" max="21" width="9.1171875" style="67"/>
    <col min="22" max="24" width="12.52734375" style="67" customWidth="1"/>
    <col min="25" max="25" width="4.234375" style="67" customWidth="1"/>
    <col min="26" max="26" width="14.234375" style="67" customWidth="1"/>
    <col min="27" max="27" width="19.41015625" style="67" customWidth="1"/>
    <col min="28" max="28" width="14.64453125" style="67" customWidth="1"/>
    <col min="29" max="29" width="13.87890625" style="67" customWidth="1"/>
    <col min="30" max="31" width="14.41015625" style="67" customWidth="1"/>
    <col min="32" max="32" width="13.64453125" style="67" customWidth="1"/>
    <col min="33" max="33" width="14.234375" style="67" customWidth="1"/>
    <col min="34" max="34" width="9.234375" style="67" bestFit="1" customWidth="1"/>
    <col min="35" max="35" width="12.87890625" style="67" customWidth="1"/>
    <col min="36" max="38" width="9.234375" style="67" bestFit="1" customWidth="1"/>
    <col min="39" max="39" width="9.1171875" style="67"/>
    <col min="40" max="40" width="9.234375" style="67" bestFit="1" customWidth="1"/>
    <col min="41" max="41" width="9.1171875" style="67"/>
    <col min="42" max="42" width="9.234375" style="67" bestFit="1" customWidth="1"/>
    <col min="43" max="43" width="10.52734375" style="67" bestFit="1" customWidth="1"/>
    <col min="44" max="46" width="9.234375" style="67" bestFit="1" customWidth="1"/>
    <col min="47" max="89" width="9.1171875" style="67"/>
    <col min="90" max="16384" width="9.1171875" style="252"/>
  </cols>
  <sheetData>
    <row r="1" spans="1:91" x14ac:dyDescent="0.4">
      <c r="B1" s="64" t="s">
        <v>105</v>
      </c>
      <c r="F1" s="64" t="s">
        <v>160</v>
      </c>
      <c r="R1" s="109"/>
      <c r="AA1" s="109"/>
      <c r="AE1" s="109"/>
      <c r="CH1" s="74"/>
      <c r="CK1" s="252"/>
    </row>
    <row r="2" spans="1:91" x14ac:dyDescent="0.4">
      <c r="A2" s="64" t="s">
        <v>96</v>
      </c>
      <c r="N2" s="109"/>
      <c r="Z2" s="109"/>
      <c r="CK2" s="74"/>
      <c r="CL2" s="67"/>
      <c r="CM2" s="67"/>
    </row>
    <row r="3" spans="1:91" x14ac:dyDescent="0.4">
      <c r="B3" s="144" t="s">
        <v>5</v>
      </c>
      <c r="C3" s="341"/>
      <c r="D3" s="327"/>
      <c r="F3" s="342" t="s">
        <v>204</v>
      </c>
      <c r="G3" s="343"/>
      <c r="H3" s="344"/>
      <c r="I3" s="315"/>
      <c r="J3" s="316"/>
      <c r="K3" s="258"/>
      <c r="L3" s="258"/>
      <c r="O3" s="352"/>
      <c r="P3" s="347"/>
      <c r="R3" s="349"/>
      <c r="S3" s="350"/>
      <c r="T3" s="350"/>
      <c r="U3" s="346"/>
      <c r="V3" s="347"/>
      <c r="W3" s="258"/>
      <c r="X3" s="258"/>
      <c r="AA3" s="260"/>
      <c r="AB3" s="352"/>
      <c r="AC3" s="347"/>
      <c r="AE3" s="349"/>
      <c r="AF3" s="350"/>
      <c r="AG3" s="350"/>
      <c r="AH3" s="346"/>
      <c r="AI3" s="347"/>
      <c r="CH3" s="252"/>
      <c r="CI3" s="252"/>
      <c r="CJ3" s="252"/>
      <c r="CK3" s="252"/>
    </row>
    <row r="4" spans="1:91" x14ac:dyDescent="0.4">
      <c r="B4" s="134" t="s">
        <v>37</v>
      </c>
      <c r="C4" s="345"/>
      <c r="D4" s="327"/>
      <c r="F4" s="342" t="s">
        <v>68</v>
      </c>
      <c r="G4" s="343"/>
      <c r="H4" s="344"/>
      <c r="I4" s="348"/>
      <c r="J4" s="316"/>
      <c r="K4" s="258"/>
      <c r="L4" s="258"/>
      <c r="M4" s="62"/>
      <c r="O4" s="346"/>
      <c r="P4" s="347"/>
      <c r="R4" s="349"/>
      <c r="S4" s="350"/>
      <c r="T4" s="350"/>
      <c r="U4" s="351"/>
      <c r="V4" s="347"/>
      <c r="W4" s="258"/>
      <c r="X4" s="258"/>
      <c r="AA4" s="259"/>
      <c r="AB4" s="346"/>
      <c r="AC4" s="347"/>
      <c r="AE4" s="349"/>
      <c r="AF4" s="350"/>
      <c r="AG4" s="350"/>
      <c r="AH4" s="351"/>
      <c r="AI4" s="347"/>
      <c r="CE4" s="74"/>
      <c r="CH4" s="252"/>
      <c r="CI4" s="252"/>
      <c r="CJ4" s="252"/>
      <c r="CK4" s="252"/>
    </row>
    <row r="5" spans="1:91" x14ac:dyDescent="0.4">
      <c r="B5" s="134" t="s">
        <v>31</v>
      </c>
      <c r="C5" s="326"/>
      <c r="D5" s="327"/>
      <c r="F5" s="338" t="s">
        <v>235</v>
      </c>
      <c r="G5" s="339"/>
      <c r="H5" s="339"/>
      <c r="I5" s="358"/>
      <c r="J5" s="358"/>
      <c r="K5" s="261">
        <f>C5</f>
        <v>0</v>
      </c>
      <c r="L5" s="261"/>
      <c r="M5" s="62"/>
      <c r="O5" s="351"/>
      <c r="P5" s="347"/>
      <c r="R5" s="355"/>
      <c r="S5" s="356"/>
      <c r="T5" s="356"/>
      <c r="U5" s="353"/>
      <c r="V5" s="353"/>
      <c r="W5" s="261"/>
      <c r="X5" s="261"/>
      <c r="AA5" s="259"/>
      <c r="AB5" s="351"/>
      <c r="AC5" s="347"/>
      <c r="AE5" s="355"/>
      <c r="AF5" s="356"/>
      <c r="AG5" s="356"/>
      <c r="AH5" s="353"/>
      <c r="AI5" s="353"/>
      <c r="CE5" s="74"/>
      <c r="CH5" s="252"/>
      <c r="CI5" s="252"/>
      <c r="CJ5" s="252"/>
      <c r="CK5" s="252"/>
    </row>
    <row r="6" spans="1:91" x14ac:dyDescent="0.4">
      <c r="B6" s="134" t="s">
        <v>38</v>
      </c>
      <c r="C6" s="326"/>
      <c r="D6" s="327"/>
      <c r="F6" s="338" t="s">
        <v>161</v>
      </c>
      <c r="G6" s="339"/>
      <c r="H6" s="339"/>
      <c r="I6" s="354"/>
      <c r="J6" s="354"/>
      <c r="K6" s="204" t="s">
        <v>205</v>
      </c>
      <c r="L6" s="263"/>
      <c r="O6" s="351"/>
      <c r="P6" s="347"/>
      <c r="R6" s="355"/>
      <c r="S6" s="356"/>
      <c r="T6" s="356"/>
      <c r="U6" s="357"/>
      <c r="V6" s="357"/>
      <c r="W6" s="263"/>
      <c r="X6" s="263"/>
      <c r="AA6" s="259"/>
      <c r="AB6" s="351"/>
      <c r="AC6" s="347"/>
      <c r="AE6" s="355"/>
      <c r="AF6" s="356"/>
      <c r="AG6" s="356"/>
      <c r="AH6" s="357"/>
      <c r="AI6" s="357"/>
      <c r="CI6" s="252"/>
      <c r="CJ6" s="252"/>
      <c r="CK6" s="252"/>
    </row>
    <row r="7" spans="1:91" x14ac:dyDescent="0.4">
      <c r="B7" s="134" t="s">
        <v>39</v>
      </c>
      <c r="C7" s="340"/>
      <c r="D7" s="327"/>
      <c r="J7" s="70"/>
      <c r="K7" s="70"/>
      <c r="L7" s="70"/>
      <c r="O7" s="359"/>
      <c r="P7" s="347"/>
      <c r="V7" s="259"/>
      <c r="W7" s="259"/>
      <c r="X7" s="259"/>
      <c r="AA7" s="259"/>
      <c r="AB7" s="359"/>
      <c r="AC7" s="347"/>
      <c r="AI7" s="259"/>
      <c r="CG7" s="252"/>
      <c r="CH7" s="252"/>
      <c r="CI7" s="252"/>
      <c r="CJ7" s="252"/>
      <c r="CK7" s="252"/>
    </row>
    <row r="8" spans="1:91" x14ac:dyDescent="0.4">
      <c r="B8" s="134" t="s">
        <v>40</v>
      </c>
      <c r="C8" s="340"/>
      <c r="D8" s="327"/>
      <c r="J8" s="70"/>
      <c r="K8" s="70"/>
      <c r="L8" s="70"/>
      <c r="M8" s="64"/>
      <c r="O8" s="359"/>
      <c r="P8" s="347"/>
      <c r="V8" s="259"/>
      <c r="W8" s="259"/>
      <c r="X8" s="259"/>
      <c r="AA8" s="259"/>
      <c r="AB8" s="359"/>
      <c r="AC8" s="347"/>
      <c r="AI8" s="259"/>
      <c r="CG8" s="252"/>
      <c r="CH8" s="252"/>
      <c r="CI8" s="252"/>
      <c r="CJ8" s="252"/>
      <c r="CK8" s="252"/>
    </row>
    <row r="9" spans="1:91" x14ac:dyDescent="0.4">
      <c r="B9" s="134" t="s">
        <v>30</v>
      </c>
      <c r="C9" s="326"/>
      <c r="D9" s="327"/>
      <c r="J9" s="70"/>
      <c r="K9" s="70"/>
      <c r="L9" s="70"/>
      <c r="M9" s="64"/>
      <c r="O9" s="351"/>
      <c r="P9" s="347"/>
      <c r="V9" s="259"/>
      <c r="W9" s="259"/>
      <c r="X9" s="259"/>
      <c r="AA9" s="259"/>
      <c r="AB9" s="351"/>
      <c r="AC9" s="347"/>
      <c r="AI9" s="259"/>
      <c r="CG9" s="252"/>
      <c r="CH9" s="252"/>
      <c r="CI9" s="252"/>
      <c r="CJ9" s="252"/>
      <c r="CK9" s="252"/>
    </row>
    <row r="10" spans="1:91" x14ac:dyDescent="0.4">
      <c r="F10" s="70"/>
      <c r="G10" s="65"/>
      <c r="H10" s="259"/>
      <c r="I10" s="260"/>
      <c r="J10" s="62"/>
      <c r="K10" s="62"/>
      <c r="L10" s="62"/>
      <c r="R10" s="259"/>
      <c r="S10" s="260"/>
      <c r="T10" s="259"/>
      <c r="U10" s="260"/>
      <c r="V10" s="74"/>
      <c r="W10" s="74"/>
      <c r="X10" s="74"/>
      <c r="AE10" s="259"/>
      <c r="AF10" s="260"/>
      <c r="AG10" s="259"/>
      <c r="AH10" s="260"/>
      <c r="AI10" s="74"/>
      <c r="CH10" s="252"/>
      <c r="CI10" s="252"/>
      <c r="CJ10" s="252"/>
      <c r="CK10" s="252"/>
    </row>
    <row r="11" spans="1:91" x14ac:dyDescent="0.4">
      <c r="A11" s="251" t="s">
        <v>162</v>
      </c>
      <c r="F11" s="70"/>
      <c r="G11" s="65"/>
      <c r="H11" s="259"/>
      <c r="I11" s="260"/>
      <c r="J11" s="62"/>
      <c r="K11" s="62"/>
      <c r="L11" s="62"/>
      <c r="R11" s="259"/>
      <c r="S11" s="260"/>
      <c r="T11" s="259"/>
      <c r="U11" s="260"/>
      <c r="V11" s="74"/>
      <c r="W11" s="74"/>
      <c r="X11" s="74"/>
      <c r="AE11" s="259"/>
      <c r="AF11" s="260"/>
      <c r="AG11" s="259"/>
      <c r="AH11" s="260"/>
      <c r="AI11" s="74"/>
      <c r="CH11" s="252"/>
      <c r="CI11" s="252"/>
      <c r="CJ11" s="252"/>
      <c r="CK11" s="252"/>
    </row>
    <row r="12" spans="1:91" x14ac:dyDescent="0.4">
      <c r="A12" s="153" t="s">
        <v>80</v>
      </c>
      <c r="B12" s="76" t="s">
        <v>80</v>
      </c>
      <c r="C12" s="135" t="s">
        <v>85</v>
      </c>
      <c r="D12" s="135" t="s">
        <v>86</v>
      </c>
      <c r="E12" s="135" t="s">
        <v>87</v>
      </c>
      <c r="F12" s="135" t="s">
        <v>88</v>
      </c>
      <c r="G12" s="135" t="s">
        <v>89</v>
      </c>
      <c r="H12" s="135" t="s">
        <v>1</v>
      </c>
      <c r="I12" s="153" t="s">
        <v>122</v>
      </c>
      <c r="J12" s="135" t="s">
        <v>122</v>
      </c>
      <c r="K12" s="153" t="s">
        <v>123</v>
      </c>
      <c r="L12" s="135" t="s">
        <v>123</v>
      </c>
      <c r="N12" s="109"/>
      <c r="P12" s="82"/>
      <c r="Q12" s="82"/>
      <c r="R12" s="82"/>
      <c r="S12" s="82"/>
      <c r="T12" s="82"/>
      <c r="U12" s="82"/>
      <c r="V12" s="82"/>
      <c r="W12" s="82"/>
      <c r="X12" s="82"/>
      <c r="Z12" s="109"/>
      <c r="AA12" s="82"/>
      <c r="AB12" s="82"/>
      <c r="AC12" s="82"/>
      <c r="AD12" s="82"/>
      <c r="AE12" s="82"/>
      <c r="AF12" s="82"/>
      <c r="AG12" s="82"/>
      <c r="AH12" s="82"/>
      <c r="AI12" s="82"/>
      <c r="AJ12" s="82"/>
      <c r="AK12" s="82"/>
      <c r="CH12" s="252"/>
      <c r="CI12" s="252"/>
      <c r="CJ12" s="252"/>
      <c r="CK12" s="252"/>
    </row>
    <row r="13" spans="1:91" x14ac:dyDescent="0.4">
      <c r="A13" s="153" t="s">
        <v>82</v>
      </c>
      <c r="B13" s="77" t="s">
        <v>81</v>
      </c>
      <c r="C13" s="135" t="s">
        <v>81</v>
      </c>
      <c r="D13" s="135" t="s">
        <v>81</v>
      </c>
      <c r="E13" s="135" t="s">
        <v>81</v>
      </c>
      <c r="F13" s="135" t="s">
        <v>81</v>
      </c>
      <c r="G13" s="135" t="s">
        <v>81</v>
      </c>
      <c r="H13" s="135" t="s">
        <v>81</v>
      </c>
      <c r="I13" s="153" t="s">
        <v>152</v>
      </c>
      <c r="J13" s="135" t="s">
        <v>206</v>
      </c>
      <c r="K13" s="153" t="s">
        <v>152</v>
      </c>
      <c r="L13" s="135" t="s">
        <v>206</v>
      </c>
      <c r="N13" s="109"/>
      <c r="P13" s="82"/>
      <c r="Q13" s="82"/>
      <c r="R13" s="82"/>
      <c r="S13" s="82"/>
      <c r="T13" s="82"/>
      <c r="U13" s="82"/>
      <c r="V13" s="82"/>
      <c r="W13" s="82"/>
      <c r="X13" s="82"/>
      <c r="Z13" s="109"/>
      <c r="AA13" s="82"/>
      <c r="AB13" s="82"/>
      <c r="AC13" s="82"/>
      <c r="AD13" s="82"/>
      <c r="AE13" s="82"/>
      <c r="AF13" s="82"/>
      <c r="AG13" s="82"/>
      <c r="AH13" s="82"/>
      <c r="AI13" s="82"/>
      <c r="AJ13" s="82"/>
      <c r="AK13" s="82"/>
      <c r="CH13" s="252"/>
      <c r="CI13" s="252"/>
      <c r="CJ13" s="252"/>
      <c r="CK13" s="252"/>
    </row>
    <row r="14" spans="1:91" x14ac:dyDescent="0.4">
      <c r="A14" s="145">
        <v>1</v>
      </c>
      <c r="B14" s="257"/>
      <c r="C14" s="104"/>
      <c r="D14" s="104"/>
      <c r="E14" s="104"/>
      <c r="F14" s="104"/>
      <c r="G14" s="104"/>
      <c r="H14" s="78" t="str">
        <f>IF($C$14="","",AVERAGE($C$14:$G$14))</f>
        <v/>
      </c>
      <c r="I14" s="152" t="str">
        <f>IF($I$5&lt;&gt;"",($H$14-$H$14),"")</f>
        <v/>
      </c>
      <c r="J14" s="135" t="s">
        <v>207</v>
      </c>
      <c r="K14" s="79" t="str">
        <f>IF(I6="","",0%)</f>
        <v/>
      </c>
      <c r="L14" s="135" t="s">
        <v>207</v>
      </c>
      <c r="N14" s="124"/>
      <c r="P14" s="125"/>
      <c r="Q14" s="125"/>
      <c r="R14" s="125"/>
      <c r="S14" s="125"/>
      <c r="T14" s="81"/>
      <c r="U14" s="86"/>
      <c r="V14" s="82"/>
      <c r="W14" s="85"/>
      <c r="X14" s="82"/>
      <c r="Z14" s="124"/>
      <c r="AA14" s="82"/>
      <c r="AB14" s="125"/>
      <c r="AC14" s="125"/>
      <c r="AD14" s="125"/>
      <c r="AE14" s="125"/>
      <c r="AF14" s="125"/>
      <c r="AG14" s="81"/>
      <c r="AH14" s="86"/>
      <c r="AI14" s="82"/>
      <c r="AJ14" s="85"/>
      <c r="AK14" s="82"/>
      <c r="CH14" s="252"/>
      <c r="CI14" s="252"/>
      <c r="CJ14" s="252"/>
      <c r="CK14" s="252"/>
    </row>
    <row r="15" spans="1:91" x14ac:dyDescent="0.4">
      <c r="A15" s="144">
        <v>2</v>
      </c>
      <c r="B15" s="153">
        <f>($B$16+$B$14)/2</f>
        <v>0</v>
      </c>
      <c r="C15" s="104"/>
      <c r="D15" s="104"/>
      <c r="E15" s="104"/>
      <c r="F15" s="104"/>
      <c r="G15" s="104"/>
      <c r="H15" s="78" t="str">
        <f>IF($C$15="","",AVERAGE($C$15:$G$15))</f>
        <v/>
      </c>
      <c r="I15" s="152" t="str">
        <f>IF($I$5&lt;&gt;"",($H$15-$H$14),"")</f>
        <v/>
      </c>
      <c r="J15" s="153" t="str">
        <f>IF($I$5="","",IF(ABS($I$15)&lt;$I$5,"NO","YES"))</f>
        <v/>
      </c>
      <c r="K15" s="79" t="str">
        <f>IF($I$6="","",($H$15-$H$14)/$H$14)</f>
        <v/>
      </c>
      <c r="L15" s="153" t="str">
        <f>IF($I$6="","",IF(ABS($K$15)&lt;$I$6,"NO","YES"))</f>
        <v/>
      </c>
      <c r="P15" s="125"/>
      <c r="Q15" s="125"/>
      <c r="R15" s="125"/>
      <c r="S15" s="125"/>
      <c r="T15" s="81"/>
      <c r="U15" s="86"/>
      <c r="V15" s="82"/>
      <c r="W15" s="85"/>
      <c r="X15" s="82"/>
      <c r="AA15" s="82"/>
      <c r="AB15" s="125"/>
      <c r="AC15" s="125"/>
      <c r="AD15" s="125"/>
      <c r="AE15" s="125"/>
      <c r="AF15" s="125"/>
      <c r="AG15" s="81"/>
      <c r="AH15" s="86"/>
      <c r="AI15" s="82"/>
      <c r="AJ15" s="85"/>
      <c r="AK15" s="82"/>
      <c r="CH15" s="252"/>
      <c r="CI15" s="252"/>
      <c r="CJ15" s="252"/>
      <c r="CK15" s="252"/>
    </row>
    <row r="16" spans="1:91" x14ac:dyDescent="0.4">
      <c r="A16" s="144">
        <v>3</v>
      </c>
      <c r="B16" s="153">
        <f>($B$18+$B$14)/2</f>
        <v>0</v>
      </c>
      <c r="C16" s="104"/>
      <c r="D16" s="104"/>
      <c r="E16" s="104"/>
      <c r="F16" s="104"/>
      <c r="G16" s="104"/>
      <c r="H16" s="78" t="str">
        <f>IF($C$16="","",AVERAGE($C$16:$G$16))</f>
        <v/>
      </c>
      <c r="I16" s="152" t="str">
        <f>IF($I$5&lt;&gt;"",($H$16-$H$14),"")</f>
        <v/>
      </c>
      <c r="J16" s="153" t="str">
        <f>IF($I$5="","",IF(ABS($I$16)&lt;$I$5,"NO","YES"))</f>
        <v/>
      </c>
      <c r="K16" s="79" t="str">
        <f>IF($I$6="","",($H$16-$H$14)/$H$14)</f>
        <v/>
      </c>
      <c r="L16" s="153" t="str">
        <f>IF($I$6="","",IF(ABS($K$16)&lt;$I$6,"NO","YES"))</f>
        <v/>
      </c>
      <c r="P16" s="125"/>
      <c r="Q16" s="125"/>
      <c r="R16" s="125"/>
      <c r="S16" s="125"/>
      <c r="T16" s="81"/>
      <c r="U16" s="86"/>
      <c r="V16" s="82"/>
      <c r="W16" s="85"/>
      <c r="X16" s="82"/>
      <c r="AA16" s="82"/>
      <c r="AB16" s="125"/>
      <c r="AC16" s="125"/>
      <c r="AD16" s="125"/>
      <c r="AE16" s="125"/>
      <c r="AF16" s="125"/>
      <c r="AG16" s="81"/>
      <c r="AH16" s="86"/>
      <c r="AI16" s="82"/>
      <c r="AJ16" s="85"/>
      <c r="AK16" s="82"/>
      <c r="CH16" s="252"/>
      <c r="CI16" s="252"/>
      <c r="CJ16" s="252"/>
      <c r="CK16" s="252"/>
    </row>
    <row r="17" spans="1:101" x14ac:dyDescent="0.4">
      <c r="A17" s="144">
        <v>4</v>
      </c>
      <c r="B17" s="153">
        <f>($B$18+$B$16)/2</f>
        <v>0</v>
      </c>
      <c r="C17" s="104"/>
      <c r="D17" s="104"/>
      <c r="E17" s="104"/>
      <c r="F17" s="104"/>
      <c r="G17" s="104"/>
      <c r="H17" s="78" t="str">
        <f>IF($C$17="","",AVERAGE($C$17:$G$17))</f>
        <v/>
      </c>
      <c r="I17" s="152" t="str">
        <f>IF($I$5&lt;&gt;"",($H$17-$H$14),"")</f>
        <v/>
      </c>
      <c r="J17" s="153" t="str">
        <f>IF($I$5="","",IF(ABS($I$17)&lt;$I$5,"NO","YES"))</f>
        <v/>
      </c>
      <c r="K17" s="79" t="str">
        <f>IF($I$6="","",($H$17-$H$14)/$H$14)</f>
        <v/>
      </c>
      <c r="L17" s="153" t="str">
        <f>IF($I$6="","",IF(ABS($K$17)&lt;$I$6,"NO","YES"))</f>
        <v/>
      </c>
      <c r="O17" s="127"/>
      <c r="P17" s="125"/>
      <c r="Q17" s="125"/>
      <c r="R17" s="125"/>
      <c r="S17" s="125"/>
      <c r="T17" s="81"/>
      <c r="U17" s="86"/>
      <c r="V17" s="82"/>
      <c r="W17" s="85"/>
      <c r="X17" s="82"/>
      <c r="AA17" s="82"/>
      <c r="AB17" s="125"/>
      <c r="AC17" s="125"/>
      <c r="AD17" s="125"/>
      <c r="AE17" s="125"/>
      <c r="AF17" s="125"/>
      <c r="AG17" s="81"/>
      <c r="AH17" s="86"/>
      <c r="AI17" s="82"/>
      <c r="AJ17" s="85"/>
      <c r="AK17" s="82"/>
      <c r="CH17" s="252"/>
      <c r="CI17" s="252"/>
      <c r="CJ17" s="252"/>
      <c r="CK17" s="252"/>
    </row>
    <row r="18" spans="1:101" x14ac:dyDescent="0.4">
      <c r="A18" s="145">
        <v>5</v>
      </c>
      <c r="B18" s="123"/>
      <c r="C18" s="104"/>
      <c r="D18" s="104"/>
      <c r="E18" s="104"/>
      <c r="F18" s="104"/>
      <c r="G18" s="104"/>
      <c r="H18" s="78" t="str">
        <f>IF($C$18="","",AVERAGE($C$18:$G$18))</f>
        <v/>
      </c>
      <c r="I18" s="152" t="str">
        <f>IF($I$5&lt;&gt;"",($H$18-$H$14),"")</f>
        <v/>
      </c>
      <c r="J18" s="153" t="str">
        <f>IF($I$5="","",IF(ABS($I$18)&lt;$I$5,"NO","YES"))</f>
        <v/>
      </c>
      <c r="K18" s="79" t="str">
        <f>IF($I$6="","",($H$18-$H$14)/$H$14)</f>
        <v/>
      </c>
      <c r="L18" s="153" t="str">
        <f>IF($I$6="","",IF(ABS($K$18)&lt;$I$6,"NO","YES"))</f>
        <v/>
      </c>
      <c r="N18" s="124"/>
      <c r="O18" s="127"/>
      <c r="P18" s="125"/>
      <c r="Q18" s="125"/>
      <c r="R18" s="125"/>
      <c r="S18" s="125"/>
      <c r="T18" s="81"/>
      <c r="U18" s="86"/>
      <c r="V18" s="82"/>
      <c r="W18" s="85"/>
      <c r="X18" s="82"/>
      <c r="Z18" s="124"/>
      <c r="AA18" s="82"/>
      <c r="AB18" s="125"/>
      <c r="AC18" s="125"/>
      <c r="AD18" s="125"/>
      <c r="AE18" s="125"/>
      <c r="AF18" s="125"/>
      <c r="AG18" s="81"/>
      <c r="AH18" s="86"/>
      <c r="AI18" s="82"/>
      <c r="AJ18" s="85"/>
      <c r="AK18" s="82"/>
      <c r="CH18" s="252"/>
      <c r="CI18" s="252"/>
      <c r="CJ18" s="252"/>
      <c r="CK18" s="252"/>
    </row>
    <row r="19" spans="1:101" x14ac:dyDescent="0.4">
      <c r="B19" s="80"/>
      <c r="C19" s="81"/>
      <c r="D19" s="81"/>
      <c r="E19" s="81"/>
      <c r="F19" s="81"/>
      <c r="G19" s="81"/>
      <c r="H19" s="68"/>
      <c r="I19" s="69"/>
      <c r="J19" s="67"/>
      <c r="K19" s="67"/>
      <c r="L19" s="67"/>
      <c r="M19" s="260"/>
      <c r="P19" s="81"/>
      <c r="Q19" s="81"/>
      <c r="R19" s="81"/>
      <c r="S19" s="81"/>
      <c r="U19" s="260"/>
      <c r="Y19" s="260"/>
      <c r="AA19" s="82"/>
      <c r="AB19" s="81"/>
      <c r="AC19" s="81"/>
      <c r="AD19" s="81"/>
      <c r="AE19" s="81"/>
      <c r="AF19" s="81"/>
      <c r="AH19" s="260"/>
      <c r="AL19" s="82"/>
      <c r="AO19" s="260"/>
      <c r="BB19" s="82"/>
      <c r="BE19" s="260"/>
      <c r="CE19" s="252"/>
      <c r="CF19" s="252"/>
      <c r="CG19" s="252"/>
      <c r="CH19" s="252"/>
      <c r="CI19" s="252"/>
      <c r="CJ19" s="252"/>
      <c r="CK19" s="252"/>
    </row>
    <row r="20" spans="1:101" x14ac:dyDescent="0.4">
      <c r="A20" s="75" t="s">
        <v>93</v>
      </c>
      <c r="B20" s="152">
        <f>AVERAGE($B$14:$B$18)</f>
        <v>0</v>
      </c>
      <c r="C20" s="84"/>
      <c r="D20" s="84"/>
      <c r="E20" s="84"/>
      <c r="F20" s="84"/>
      <c r="G20" s="84"/>
      <c r="H20" s="81"/>
      <c r="I20" s="84"/>
      <c r="J20" s="85"/>
      <c r="K20" s="85"/>
      <c r="L20" s="85"/>
      <c r="M20" s="86"/>
      <c r="N20" s="109"/>
      <c r="P20" s="86"/>
      <c r="Q20" s="86"/>
      <c r="R20" s="86"/>
      <c r="S20" s="86"/>
      <c r="T20" s="81"/>
      <c r="U20" s="86"/>
      <c r="V20" s="85"/>
      <c r="W20" s="85"/>
      <c r="X20" s="85"/>
      <c r="Y20" s="260"/>
      <c r="Z20" s="109"/>
      <c r="AA20" s="86"/>
      <c r="AB20" s="86"/>
      <c r="AC20" s="86"/>
      <c r="AD20" s="86"/>
      <c r="AE20" s="86"/>
      <c r="AF20" s="86"/>
      <c r="AG20" s="81"/>
      <c r="AH20" s="86"/>
      <c r="AI20" s="85"/>
      <c r="AJ20" s="82"/>
      <c r="AL20" s="82"/>
      <c r="AO20" s="260"/>
      <c r="AZ20" s="82"/>
      <c r="BB20" s="82"/>
      <c r="BE20" s="260"/>
      <c r="BP20" s="87"/>
      <c r="CA20" s="87"/>
      <c r="CE20" s="252"/>
      <c r="CF20" s="252"/>
      <c r="CG20" s="252"/>
      <c r="CH20" s="252"/>
      <c r="CI20" s="252"/>
      <c r="CJ20" s="252"/>
      <c r="CK20" s="252"/>
      <c r="CL20" s="88"/>
      <c r="CW20" s="88"/>
    </row>
    <row r="21" spans="1:101" x14ac:dyDescent="0.4">
      <c r="A21" s="75" t="s">
        <v>242</v>
      </c>
      <c r="B21" s="81" t="e">
        <f>AVERAGE($H$14:$H$18)</f>
        <v>#DIV/0!</v>
      </c>
      <c r="C21" s="90"/>
      <c r="D21" s="90"/>
      <c r="E21" s="90"/>
      <c r="F21" s="90"/>
      <c r="G21" s="90"/>
      <c r="H21" s="90"/>
      <c r="I21" s="90"/>
      <c r="J21" s="102" t="s">
        <v>208</v>
      </c>
      <c r="K21" s="102"/>
      <c r="L21" s="102" t="s">
        <v>209</v>
      </c>
      <c r="M21" s="102"/>
      <c r="N21" s="260"/>
      <c r="O21" s="109"/>
      <c r="Q21" s="91"/>
      <c r="R21" s="91"/>
      <c r="S21" s="91"/>
      <c r="T21" s="91"/>
      <c r="U21" s="91"/>
      <c r="V21" s="91"/>
      <c r="W21" s="91"/>
      <c r="X21" s="91"/>
      <c r="Y21" s="91"/>
      <c r="AA21" s="109"/>
      <c r="AB21" s="91"/>
      <c r="AC21" s="91"/>
      <c r="AD21" s="91"/>
      <c r="AE21" s="91"/>
      <c r="AF21" s="91"/>
      <c r="AG21" s="91"/>
      <c r="AH21" s="91"/>
      <c r="AI21" s="91"/>
      <c r="AJ21" s="91"/>
      <c r="CI21" s="252"/>
      <c r="CJ21" s="252"/>
      <c r="CK21" s="252"/>
    </row>
    <row r="22" spans="1:101" x14ac:dyDescent="0.4">
      <c r="A22" s="75" t="s">
        <v>75</v>
      </c>
      <c r="B22" s="89" t="e">
        <f>INTERCEPT($H$14:$H$18,$B$14:$B$18)</f>
        <v>#DIV/0!</v>
      </c>
      <c r="C22" s="90"/>
      <c r="D22" s="90"/>
      <c r="E22" s="90"/>
      <c r="F22" s="90"/>
      <c r="G22" s="90"/>
      <c r="H22" s="90"/>
      <c r="I22" s="266" t="s">
        <v>210</v>
      </c>
      <c r="J22" s="206">
        <f>($B$14-$B$20)^2</f>
        <v>0</v>
      </c>
      <c r="K22" s="206" t="s">
        <v>212</v>
      </c>
      <c r="L22" s="86" t="e">
        <f>($H$14-$B$21)^2</f>
        <v>#VALUE!</v>
      </c>
      <c r="N22" s="260"/>
      <c r="O22" s="109"/>
      <c r="Q22" s="91"/>
      <c r="R22" s="91"/>
      <c r="S22" s="91"/>
      <c r="T22" s="91"/>
      <c r="U22" s="91"/>
      <c r="V22" s="91"/>
      <c r="W22" s="91"/>
      <c r="X22" s="91"/>
      <c r="Y22" s="91"/>
      <c r="AA22" s="109"/>
      <c r="AB22" s="91"/>
      <c r="AC22" s="91"/>
      <c r="AD22" s="91"/>
      <c r="AE22" s="91"/>
      <c r="AF22" s="91"/>
      <c r="AG22" s="91"/>
      <c r="AH22" s="91"/>
      <c r="AI22" s="91"/>
      <c r="AJ22" s="91"/>
      <c r="CI22" s="252"/>
      <c r="CJ22" s="252"/>
      <c r="CK22" s="252"/>
    </row>
    <row r="23" spans="1:101" x14ac:dyDescent="0.4">
      <c r="A23" s="75" t="s">
        <v>236</v>
      </c>
      <c r="B23" s="89" t="e">
        <f>SLOPE($H$14:$H$18,$B$14:$B$18)</f>
        <v>#DIV/0!</v>
      </c>
      <c r="C23" s="90"/>
      <c r="D23" s="90"/>
      <c r="E23" s="90"/>
      <c r="F23" s="90"/>
      <c r="G23" s="90"/>
      <c r="H23" s="90"/>
      <c r="I23" s="266" t="s">
        <v>238</v>
      </c>
      <c r="J23" s="206">
        <f>($B$15-$B$20)^2</f>
        <v>0</v>
      </c>
      <c r="K23" s="206" t="s">
        <v>243</v>
      </c>
      <c r="L23" s="86" t="e">
        <f>($H$15-$B$21)^2</f>
        <v>#VALUE!</v>
      </c>
      <c r="M23" s="91"/>
      <c r="O23" s="109"/>
      <c r="Q23" s="91"/>
      <c r="R23" s="91"/>
      <c r="S23" s="91"/>
      <c r="T23" s="91"/>
      <c r="U23" s="91"/>
      <c r="V23" s="91"/>
      <c r="W23" s="91"/>
      <c r="X23" s="91"/>
      <c r="Y23" s="91"/>
      <c r="AA23" s="109"/>
      <c r="AB23" s="91"/>
      <c r="AC23" s="91"/>
      <c r="AD23" s="91"/>
      <c r="AE23" s="91"/>
      <c r="AF23" s="91"/>
      <c r="AG23" s="91"/>
      <c r="AH23" s="91"/>
      <c r="AI23" s="91"/>
      <c r="AJ23" s="91"/>
      <c r="CI23" s="252"/>
      <c r="CJ23" s="252"/>
      <c r="CK23" s="252"/>
    </row>
    <row r="24" spans="1:101" x14ac:dyDescent="0.4">
      <c r="A24" s="75" t="s">
        <v>76</v>
      </c>
      <c r="B24" s="89" t="e">
        <f>CORREL($H$14:$H$18,$B$14:$B$18)</f>
        <v>#DIV/0!</v>
      </c>
      <c r="C24" s="90"/>
      <c r="D24" s="90"/>
      <c r="E24" s="90"/>
      <c r="F24" s="90"/>
      <c r="G24" s="90"/>
      <c r="H24" s="90"/>
      <c r="I24" s="266" t="s">
        <v>239</v>
      </c>
      <c r="J24" s="206">
        <f>($B$16-$B$20)^2</f>
        <v>0</v>
      </c>
      <c r="K24" s="206" t="s">
        <v>244</v>
      </c>
      <c r="L24" s="86" t="e">
        <f>($H$16-$B$21)^2</f>
        <v>#VALUE!</v>
      </c>
      <c r="M24" s="91"/>
      <c r="O24" s="109"/>
      <c r="Q24" s="91"/>
      <c r="R24" s="91"/>
      <c r="S24" s="91"/>
      <c r="T24" s="91"/>
      <c r="U24" s="91"/>
      <c r="V24" s="91"/>
      <c r="W24" s="91"/>
      <c r="X24" s="91"/>
      <c r="Y24" s="91"/>
      <c r="AA24" s="109"/>
      <c r="AB24" s="91"/>
      <c r="AC24" s="91"/>
      <c r="AD24" s="91"/>
      <c r="AE24" s="91"/>
      <c r="AF24" s="91"/>
      <c r="AG24" s="91"/>
      <c r="AH24" s="91"/>
      <c r="AI24" s="91"/>
      <c r="AJ24" s="91"/>
      <c r="CI24" s="252"/>
      <c r="CJ24" s="252"/>
      <c r="CK24" s="252"/>
    </row>
    <row r="25" spans="1:101" x14ac:dyDescent="0.4">
      <c r="A25" s="75" t="s">
        <v>84</v>
      </c>
      <c r="B25" s="89" t="e">
        <f>RSQ($H$14:$H$18,$B$14:$B$18)</f>
        <v>#DIV/0!</v>
      </c>
      <c r="C25" s="90"/>
      <c r="D25" s="90"/>
      <c r="E25" s="90"/>
      <c r="F25" s="90"/>
      <c r="G25" s="90"/>
      <c r="H25" s="90"/>
      <c r="I25" s="266" t="s">
        <v>240</v>
      </c>
      <c r="J25" s="206">
        <f>($B$17-$B$20)^2</f>
        <v>0</v>
      </c>
      <c r="K25" s="206" t="s">
        <v>245</v>
      </c>
      <c r="L25" s="86" t="e">
        <f>($H$17-$B$21)^2</f>
        <v>#VALUE!</v>
      </c>
      <c r="M25" s="91"/>
      <c r="N25" s="92"/>
      <c r="O25" s="109"/>
      <c r="P25" s="86"/>
      <c r="Q25" s="91"/>
      <c r="R25" s="91"/>
      <c r="S25" s="91"/>
      <c r="T25" s="91"/>
      <c r="U25" s="91"/>
      <c r="V25" s="91"/>
      <c r="W25" s="91"/>
      <c r="X25" s="91"/>
      <c r="Y25" s="91"/>
      <c r="AA25" s="109"/>
      <c r="AB25" s="91"/>
      <c r="AC25" s="91"/>
      <c r="AD25" s="91"/>
      <c r="AE25" s="91"/>
      <c r="AF25" s="91"/>
      <c r="AG25" s="91"/>
      <c r="AH25" s="91"/>
      <c r="AI25" s="91"/>
      <c r="AJ25" s="91"/>
      <c r="CI25" s="252"/>
      <c r="CJ25" s="252"/>
      <c r="CK25" s="252"/>
    </row>
    <row r="26" spans="1:101" ht="15.35" x14ac:dyDescent="0.6">
      <c r="A26" s="75" t="s">
        <v>90</v>
      </c>
      <c r="B26" s="89" t="e">
        <f>STEYX($H$14:$H$18,$B$14:$B$18)</f>
        <v>#DIV/0!</v>
      </c>
      <c r="C26" s="90"/>
      <c r="D26" s="90"/>
      <c r="E26" s="90"/>
      <c r="F26" s="90"/>
      <c r="G26" s="90"/>
      <c r="H26" s="90"/>
      <c r="I26" s="266" t="s">
        <v>241</v>
      </c>
      <c r="J26" s="206">
        <f>($B$18-$B$20)^2</f>
        <v>0</v>
      </c>
      <c r="K26" s="206" t="s">
        <v>213</v>
      </c>
      <c r="L26" s="86" t="e">
        <f>($H$18-$B$21)^2</f>
        <v>#VALUE!</v>
      </c>
      <c r="M26" s="91"/>
      <c r="N26" s="92"/>
      <c r="O26" s="109"/>
      <c r="P26" s="91"/>
      <c r="Q26" s="91"/>
      <c r="R26" s="91"/>
      <c r="S26" s="91"/>
      <c r="T26" s="91"/>
      <c r="U26" s="91"/>
      <c r="V26" s="91"/>
      <c r="W26" s="91"/>
      <c r="X26" s="91"/>
      <c r="Y26" s="91"/>
      <c r="AA26" s="109"/>
      <c r="AB26" s="101"/>
      <c r="AC26" s="91"/>
      <c r="AD26" s="91"/>
      <c r="AE26" s="91"/>
      <c r="AF26" s="91"/>
      <c r="AG26" s="91"/>
      <c r="AH26" s="91"/>
      <c r="AI26" s="91"/>
      <c r="AJ26" s="91"/>
      <c r="CI26" s="252"/>
      <c r="CJ26" s="252"/>
      <c r="CK26" s="252"/>
    </row>
    <row r="27" spans="1:101" x14ac:dyDescent="0.4">
      <c r="A27" s="75" t="s">
        <v>92</v>
      </c>
      <c r="B27" s="89">
        <f>SUM($J$22:$J$26)</f>
        <v>0</v>
      </c>
      <c r="C27" s="90"/>
      <c r="D27" s="90"/>
      <c r="E27" s="90"/>
      <c r="F27" s="90"/>
      <c r="G27" s="90"/>
      <c r="H27" s="90"/>
      <c r="I27" s="266"/>
      <c r="J27" s="206"/>
      <c r="K27" s="86"/>
      <c r="L27" s="91"/>
      <c r="M27" s="92"/>
      <c r="N27" s="109"/>
      <c r="O27" s="91"/>
      <c r="P27" s="91"/>
      <c r="Q27" s="91"/>
      <c r="R27" s="91"/>
      <c r="S27" s="91"/>
      <c r="T27" s="91"/>
      <c r="U27" s="91"/>
      <c r="V27" s="91"/>
      <c r="W27" s="91"/>
      <c r="X27" s="91"/>
      <c r="Z27" s="109"/>
      <c r="AA27" s="91"/>
      <c r="AB27" s="91"/>
      <c r="AC27" s="91"/>
      <c r="AD27" s="91"/>
      <c r="AE27" s="91"/>
      <c r="AF27" s="91"/>
      <c r="AG27" s="91"/>
      <c r="AH27" s="91"/>
      <c r="AI27" s="91"/>
      <c r="CH27" s="252"/>
      <c r="CI27" s="252"/>
      <c r="CJ27" s="252"/>
      <c r="CK27" s="252"/>
    </row>
    <row r="28" spans="1:101" x14ac:dyDescent="0.4">
      <c r="A28" s="75" t="s">
        <v>237</v>
      </c>
      <c r="B28" s="89" t="e">
        <f>SUM($L$22:$L$26)</f>
        <v>#VALUE!</v>
      </c>
      <c r="C28" s="90"/>
      <c r="D28" s="90"/>
      <c r="E28" s="90"/>
      <c r="F28" s="90"/>
      <c r="G28" s="90"/>
      <c r="H28" s="90"/>
      <c r="I28" s="90"/>
      <c r="J28" s="205" t="s">
        <v>218</v>
      </c>
      <c r="K28" s="205" t="s">
        <v>219</v>
      </c>
      <c r="L28" s="205" t="s">
        <v>220</v>
      </c>
      <c r="M28" s="109"/>
      <c r="N28" s="91"/>
      <c r="O28" s="91"/>
      <c r="P28" s="91"/>
      <c r="Q28" s="91"/>
      <c r="R28" s="91"/>
      <c r="S28" s="91"/>
      <c r="T28" s="91"/>
      <c r="U28" s="91"/>
      <c r="V28" s="91"/>
      <c r="W28" s="91"/>
      <c r="Y28" s="109"/>
      <c r="Z28" s="91"/>
      <c r="AA28" s="91"/>
      <c r="AB28" s="91"/>
      <c r="AC28" s="91"/>
      <c r="AD28" s="91"/>
      <c r="AE28" s="91"/>
      <c r="AF28" s="91"/>
      <c r="AG28" s="91"/>
      <c r="AH28" s="91"/>
      <c r="CG28" s="252"/>
      <c r="CH28" s="252"/>
      <c r="CI28" s="252"/>
      <c r="CJ28" s="252"/>
      <c r="CK28" s="252"/>
    </row>
    <row r="29" spans="1:101" x14ac:dyDescent="0.4">
      <c r="A29" s="75" t="s">
        <v>77</v>
      </c>
      <c r="B29" s="89" t="e">
        <f>(SQRT($B$28/$B$32))/(SQRT($B$27))</f>
        <v>#VALUE!</v>
      </c>
      <c r="C29" s="90"/>
      <c r="D29" s="90"/>
      <c r="E29" s="90"/>
      <c r="F29" s="90"/>
      <c r="G29" s="90"/>
      <c r="H29" s="90"/>
      <c r="I29" s="205" t="s">
        <v>210</v>
      </c>
      <c r="J29" s="91">
        <f>B14</f>
        <v>0</v>
      </c>
      <c r="K29" s="248">
        <f>B14</f>
        <v>0</v>
      </c>
      <c r="L29" s="247">
        <f>B14</f>
        <v>0</v>
      </c>
      <c r="M29" s="109"/>
      <c r="N29" s="91"/>
      <c r="O29" s="91"/>
      <c r="P29" s="91"/>
      <c r="Q29" s="91"/>
      <c r="R29" s="91"/>
      <c r="S29" s="91"/>
      <c r="T29" s="91"/>
      <c r="U29" s="91"/>
      <c r="V29" s="91"/>
      <c r="W29" s="91"/>
      <c r="Y29" s="109"/>
      <c r="Z29" s="91"/>
      <c r="AA29" s="91"/>
      <c r="AB29" s="91"/>
      <c r="AC29" s="91"/>
      <c r="AD29" s="91"/>
      <c r="AE29" s="91"/>
      <c r="AF29" s="91"/>
      <c r="AG29" s="91"/>
      <c r="AH29" s="91"/>
      <c r="CG29" s="252"/>
      <c r="CH29" s="252"/>
      <c r="CI29" s="252"/>
      <c r="CJ29" s="252"/>
      <c r="CK29" s="252"/>
    </row>
    <row r="30" spans="1:101" x14ac:dyDescent="0.4">
      <c r="A30" s="94" t="s">
        <v>78</v>
      </c>
      <c r="B30" s="95">
        <f>COUNT($C$14:$G$18)</f>
        <v>0</v>
      </c>
      <c r="C30" s="90"/>
      <c r="D30" s="90"/>
      <c r="E30" s="90"/>
      <c r="F30" s="90"/>
      <c r="G30" s="90"/>
      <c r="H30" s="90"/>
      <c r="I30" s="205" t="s">
        <v>211</v>
      </c>
      <c r="J30" s="91">
        <f>B18</f>
        <v>0</v>
      </c>
      <c r="K30" s="247">
        <f>B18</f>
        <v>0</v>
      </c>
      <c r="L30" s="247">
        <f>B18</f>
        <v>0</v>
      </c>
      <c r="M30" s="109"/>
      <c r="N30" s="91"/>
      <c r="O30" s="91"/>
      <c r="P30" s="91"/>
      <c r="Q30" s="91"/>
      <c r="R30" s="91"/>
      <c r="S30" s="91"/>
      <c r="T30" s="91"/>
      <c r="U30" s="91"/>
      <c r="V30" s="91"/>
      <c r="W30" s="91"/>
      <c r="Y30" s="109"/>
      <c r="Z30" s="100"/>
      <c r="AA30" s="91"/>
      <c r="AB30" s="91"/>
      <c r="AC30" s="91"/>
      <c r="AD30" s="91"/>
      <c r="AE30" s="91"/>
      <c r="AF30" s="91"/>
      <c r="AG30" s="91"/>
      <c r="AH30" s="91"/>
      <c r="CG30" s="252"/>
      <c r="CH30" s="252"/>
      <c r="CI30" s="252"/>
      <c r="CJ30" s="252"/>
      <c r="CK30" s="252"/>
    </row>
    <row r="31" spans="1:101" x14ac:dyDescent="0.4">
      <c r="A31" s="75" t="s">
        <v>99</v>
      </c>
      <c r="B31" s="93" t="e">
        <f>$B$23/$B$29</f>
        <v>#DIV/0!</v>
      </c>
      <c r="C31" s="90"/>
      <c r="D31" s="90"/>
      <c r="E31" s="90"/>
      <c r="F31" s="90"/>
      <c r="G31" s="90"/>
      <c r="H31" s="90"/>
      <c r="I31" s="205" t="s">
        <v>212</v>
      </c>
      <c r="J31" s="91" t="str">
        <f>H14</f>
        <v/>
      </c>
      <c r="K31" s="247" t="e">
        <f>$H$14+(1*$I$5)</f>
        <v>#VALUE!</v>
      </c>
      <c r="L31" s="247" t="e">
        <f>$H$14-(1*$I$5)</f>
        <v>#VALUE!</v>
      </c>
      <c r="M31" s="109"/>
      <c r="N31" s="91"/>
      <c r="O31" s="91"/>
      <c r="P31" s="91"/>
      <c r="Q31" s="91"/>
      <c r="R31" s="91"/>
      <c r="S31" s="91"/>
      <c r="T31" s="91"/>
      <c r="U31" s="91"/>
      <c r="V31" s="91"/>
      <c r="W31" s="91"/>
      <c r="Y31" s="109"/>
      <c r="Z31" s="100"/>
      <c r="AA31" s="91"/>
      <c r="AB31" s="91"/>
      <c r="AC31" s="91"/>
      <c r="AD31" s="91"/>
      <c r="AE31" s="91"/>
      <c r="AF31" s="91"/>
      <c r="AG31" s="91"/>
      <c r="AH31" s="91"/>
      <c r="CG31" s="252"/>
      <c r="CH31" s="252"/>
      <c r="CI31" s="252"/>
      <c r="CJ31" s="252"/>
      <c r="CK31" s="252"/>
    </row>
    <row r="32" spans="1:101" x14ac:dyDescent="0.4">
      <c r="A32" s="94" t="s">
        <v>79</v>
      </c>
      <c r="B32" s="95">
        <f>$B$30-2</f>
        <v>-2</v>
      </c>
      <c r="C32" s="90"/>
      <c r="D32" s="90"/>
      <c r="E32" s="90"/>
      <c r="F32" s="90"/>
      <c r="G32" s="90"/>
      <c r="H32" s="90"/>
      <c r="I32" s="205" t="s">
        <v>213</v>
      </c>
      <c r="J32" s="91" t="str">
        <f>H14</f>
        <v/>
      </c>
      <c r="K32" s="247" t="e">
        <f>$H$14+(1*$I$5)</f>
        <v>#VALUE!</v>
      </c>
      <c r="L32" s="247" t="e">
        <f>$H$14-(1*$I$5)</f>
        <v>#VALUE!</v>
      </c>
      <c r="M32" s="67"/>
      <c r="N32" s="109"/>
      <c r="O32" s="91"/>
      <c r="P32" s="91"/>
      <c r="Q32" s="91"/>
      <c r="R32" s="91"/>
      <c r="S32" s="91"/>
      <c r="T32" s="91"/>
      <c r="U32" s="91"/>
      <c r="V32" s="91"/>
      <c r="W32" s="91"/>
      <c r="X32" s="91"/>
      <c r="Z32" s="109"/>
      <c r="AA32" s="102"/>
      <c r="AB32" s="91"/>
      <c r="AC32" s="91"/>
      <c r="AD32" s="91"/>
      <c r="AE32" s="91"/>
      <c r="AF32" s="91"/>
      <c r="AG32" s="91"/>
      <c r="AH32" s="91"/>
      <c r="AI32" s="91"/>
      <c r="CH32" s="252"/>
      <c r="CI32" s="252"/>
      <c r="CJ32" s="252"/>
      <c r="CK32" s="252"/>
    </row>
    <row r="33" spans="1:89" x14ac:dyDescent="0.4">
      <c r="A33" s="94" t="s">
        <v>95</v>
      </c>
      <c r="B33" s="89" t="e">
        <f>TINV(0.05,$B$32)</f>
        <v>#NUM!</v>
      </c>
      <c r="C33" s="90"/>
      <c r="D33" s="90"/>
      <c r="E33" s="90"/>
      <c r="F33" s="90"/>
      <c r="G33" s="90"/>
      <c r="H33" s="90"/>
      <c r="I33" s="90"/>
      <c r="J33" s="91"/>
      <c r="K33" s="247"/>
      <c r="L33" s="247"/>
      <c r="M33" s="67"/>
      <c r="N33" s="109"/>
      <c r="O33" s="91"/>
      <c r="P33" s="91"/>
      <c r="Q33" s="91"/>
      <c r="R33" s="91"/>
      <c r="S33" s="91"/>
      <c r="T33" s="91"/>
      <c r="U33" s="91"/>
      <c r="V33" s="91"/>
      <c r="W33" s="91"/>
      <c r="X33" s="91"/>
      <c r="Z33" s="109"/>
      <c r="AA33" s="91"/>
      <c r="AB33" s="91"/>
      <c r="AC33" s="91"/>
      <c r="AD33" s="91"/>
      <c r="AE33" s="91"/>
      <c r="AF33" s="91"/>
      <c r="AG33" s="91"/>
      <c r="AH33" s="91"/>
      <c r="AI33" s="91"/>
      <c r="CH33" s="252"/>
      <c r="CI33" s="252"/>
      <c r="CJ33" s="252"/>
      <c r="CK33" s="252"/>
    </row>
    <row r="34" spans="1:89" ht="13" x14ac:dyDescent="0.45">
      <c r="A34" s="75" t="s">
        <v>156</v>
      </c>
      <c r="B34" s="96" t="e">
        <f>IF(ABS($B$31)&gt;$B$33,"YES","NO")</f>
        <v>#DIV/0!</v>
      </c>
      <c r="C34" s="66"/>
      <c r="D34" s="66"/>
      <c r="E34" s="66"/>
      <c r="F34" s="66"/>
      <c r="G34" s="66"/>
      <c r="H34" s="66"/>
      <c r="I34" s="90"/>
      <c r="J34" s="205" t="s">
        <v>218</v>
      </c>
      <c r="K34" s="205" t="s">
        <v>222</v>
      </c>
      <c r="L34" s="205" t="s">
        <v>221</v>
      </c>
      <c r="M34" s="67"/>
      <c r="N34" s="109"/>
      <c r="Z34" s="109"/>
      <c r="CH34" s="252"/>
      <c r="CI34" s="252"/>
      <c r="CJ34" s="252"/>
      <c r="CK34" s="252"/>
    </row>
    <row r="35" spans="1:89" x14ac:dyDescent="0.4">
      <c r="A35" s="66"/>
      <c r="B35" s="66"/>
      <c r="C35" s="66"/>
      <c r="D35" s="66"/>
      <c r="E35" s="66"/>
      <c r="F35" s="66"/>
      <c r="G35" s="66"/>
      <c r="H35" s="66"/>
      <c r="I35" s="249" t="s">
        <v>210</v>
      </c>
      <c r="J35" s="205">
        <f>B14</f>
        <v>0</v>
      </c>
      <c r="K35" s="91">
        <f>B14</f>
        <v>0</v>
      </c>
      <c r="L35" s="91">
        <f>B14</f>
        <v>0</v>
      </c>
      <c r="M35" s="67"/>
      <c r="CH35" s="252"/>
      <c r="CI35" s="252"/>
      <c r="CJ35" s="252"/>
      <c r="CK35" s="252"/>
    </row>
    <row r="36" spans="1:89" x14ac:dyDescent="0.4">
      <c r="A36" s="72" t="s">
        <v>97</v>
      </c>
      <c r="B36" s="64"/>
      <c r="C36" s="64"/>
      <c r="D36" s="73"/>
      <c r="E36" s="73"/>
      <c r="F36" s="64"/>
      <c r="G36" s="64"/>
      <c r="H36" s="64"/>
      <c r="I36" s="249" t="s">
        <v>211</v>
      </c>
      <c r="J36" s="249">
        <f>B18</f>
        <v>0</v>
      </c>
      <c r="K36" s="247">
        <f>B18</f>
        <v>0</v>
      </c>
      <c r="L36" s="247">
        <f>B18</f>
        <v>0</v>
      </c>
      <c r="M36" s="67"/>
      <c r="N36" s="126"/>
      <c r="O36" s="109"/>
      <c r="P36" s="127"/>
      <c r="Q36" s="127"/>
      <c r="R36" s="109"/>
      <c r="S36" s="109"/>
      <c r="T36" s="109"/>
      <c r="U36" s="109"/>
      <c r="V36" s="109"/>
      <c r="W36" s="109"/>
      <c r="X36" s="109"/>
      <c r="Z36" s="126"/>
      <c r="AA36" s="109"/>
      <c r="AB36" s="109"/>
      <c r="AC36" s="127"/>
      <c r="AD36" s="127"/>
      <c r="AE36" s="109"/>
      <c r="AF36" s="109"/>
      <c r="AG36" s="109"/>
      <c r="AH36" s="109"/>
      <c r="AI36" s="109"/>
      <c r="CH36" s="252"/>
      <c r="CI36" s="252"/>
      <c r="CJ36" s="252"/>
      <c r="CK36" s="252"/>
    </row>
    <row r="37" spans="1:89" x14ac:dyDescent="0.4">
      <c r="A37" s="62" t="e">
        <f>IF($B$34="YES", "The slope is NOT statistically significantly different from zero.", "The slope IS statistically significantly different from zero, indicating that interference is statistically significant.")</f>
        <v>#DIV/0!</v>
      </c>
      <c r="B37" s="64"/>
      <c r="C37" s="64"/>
      <c r="D37" s="73"/>
      <c r="E37" s="73"/>
      <c r="F37" s="64"/>
      <c r="G37" s="64"/>
      <c r="H37" s="64"/>
      <c r="I37" s="250" t="s">
        <v>212</v>
      </c>
      <c r="J37" s="249" t="str">
        <f>H14</f>
        <v/>
      </c>
      <c r="K37" s="247" t="e">
        <f>$H$14+($H$14*$I$6)</f>
        <v>#VALUE!</v>
      </c>
      <c r="L37" s="247" t="e">
        <f>$H$14-($H$14*$I$6)</f>
        <v>#VALUE!</v>
      </c>
      <c r="M37" s="67"/>
      <c r="N37" s="74"/>
      <c r="O37" s="109"/>
      <c r="P37" s="127"/>
      <c r="Q37" s="127"/>
      <c r="R37" s="109"/>
      <c r="S37" s="109"/>
      <c r="T37" s="109"/>
      <c r="U37" s="109"/>
      <c r="V37" s="109"/>
      <c r="W37" s="109"/>
      <c r="X37" s="109"/>
      <c r="Z37" s="74"/>
      <c r="AA37" s="109"/>
      <c r="AB37" s="109"/>
      <c r="AC37" s="127"/>
      <c r="AD37" s="127"/>
      <c r="AE37" s="109"/>
      <c r="AF37" s="109"/>
      <c r="AG37" s="109"/>
      <c r="AH37" s="109"/>
      <c r="AI37" s="109"/>
      <c r="CH37" s="252"/>
      <c r="CI37" s="252"/>
      <c r="CJ37" s="252"/>
      <c r="CK37" s="252"/>
    </row>
    <row r="38" spans="1:89" ht="13.95" customHeight="1" x14ac:dyDescent="0.4">
      <c r="I38" s="250" t="s">
        <v>213</v>
      </c>
      <c r="J38" s="268" t="str">
        <f>H14</f>
        <v/>
      </c>
      <c r="K38" s="247" t="e">
        <f>$H$14+($H$14*$I$6)</f>
        <v>#VALUE!</v>
      </c>
      <c r="L38" s="247" t="e">
        <f>$H$14-($H$14*$I$6)</f>
        <v>#VALUE!</v>
      </c>
    </row>
    <row r="39" spans="1:89" x14ac:dyDescent="0.4">
      <c r="A39" s="251" t="str">
        <f>IF(AND($J$15="YES",$L$16="YES"),"Bias with Interferent Level 2 &gt; the acceptable limit (Dmax), indicating that Interference is Clinically Significant. ", "Bias with Interferent Level 2 &lt; the acceptable limit (Dmax), indicating that Interference is NOT Clinically Significant.")</f>
        <v>Bias with Interferent Level 2 &lt; the acceptable limit (Dmax), indicating that Interference is NOT Clinically Significant.</v>
      </c>
      <c r="J39" s="207"/>
      <c r="K39" s="207"/>
      <c r="L39" s="207"/>
      <c r="M39" s="67"/>
      <c r="N39" s="74"/>
      <c r="Z39" s="74"/>
      <c r="CH39" s="252"/>
      <c r="CI39" s="252"/>
      <c r="CJ39" s="252"/>
      <c r="CK39" s="252"/>
    </row>
    <row r="40" spans="1:89" x14ac:dyDescent="0.4">
      <c r="A40" s="62" t="str">
        <f>IF(AND($J$16 ="YES",$L$16="YES"), "Bias with Interferent Level 3 &gt; the acceptable limit (Dmax), indicating that Interference is Clinically Significant. ", "Bias with Interferent Level 3 &lt; the acceptable limit (Dmax), indicating that Interference is NOT Clinically Significant.")</f>
        <v>Bias with Interferent Level 3 &lt; the acceptable limit (Dmax), indicating that Interference is NOT Clinically Significant.</v>
      </c>
      <c r="M40" s="67"/>
      <c r="N40" s="74"/>
      <c r="Z40" s="74"/>
      <c r="CH40" s="252"/>
      <c r="CI40" s="252"/>
      <c r="CJ40" s="252"/>
      <c r="CK40" s="252"/>
    </row>
    <row r="41" spans="1:89" x14ac:dyDescent="0.4">
      <c r="A41" s="62" t="str">
        <f>IF(AND($J$17 ="YES",$L$17="YES"), "Bias with Interferent Level 4 &gt; the acceptable limit (Dmax), indicating that Interference is Clinically Significant. ", "Bias with Interferent Level 4 &lt; the acceptable limit (Dmax), indicating that Interference is NOT Clinically Significant.")</f>
        <v>Bias with Interferent Level 4 &lt; the acceptable limit (Dmax), indicating that Interference is NOT Clinically Significant.</v>
      </c>
      <c r="J41" s="67"/>
      <c r="K41" s="67"/>
      <c r="L41" s="67"/>
      <c r="M41" s="67"/>
      <c r="N41" s="74"/>
      <c r="Z41" s="74"/>
      <c r="CH41" s="252"/>
      <c r="CI41" s="252"/>
      <c r="CJ41" s="252"/>
      <c r="CK41" s="252"/>
    </row>
    <row r="42" spans="1:89" s="64" customFormat="1" x14ac:dyDescent="0.4">
      <c r="A42" s="251" t="str">
        <f>IF(AND($J$18 ="NO",$L$18="NO"), "Bias with Interferent Level 5 &lt; the acceptable limit (Dmax), indicating that Interference is NOT Clinically Significant. ", "Bias with Interferent Level 5 &gt; the acceptable limit (Dmax), indicating that Interference IS Clinically Significant.")</f>
        <v>Bias with Interferent Level 5 &gt; the acceptable limit (Dmax), indicating that Interference IS Clinically Significant.</v>
      </c>
      <c r="D42" s="73"/>
      <c r="E42" s="73"/>
      <c r="J42" s="109"/>
      <c r="K42" s="109"/>
      <c r="L42" s="109"/>
      <c r="M42" s="109"/>
      <c r="N42" s="109"/>
      <c r="O42" s="109"/>
      <c r="P42" s="127"/>
      <c r="Q42" s="127"/>
      <c r="R42" s="109"/>
      <c r="S42" s="109"/>
      <c r="T42" s="109"/>
      <c r="U42" s="109"/>
      <c r="V42" s="109"/>
      <c r="W42" s="109"/>
      <c r="X42" s="109"/>
      <c r="Y42" s="109"/>
      <c r="Z42" s="109"/>
      <c r="AA42" s="109"/>
      <c r="AB42" s="109"/>
      <c r="AC42" s="127"/>
      <c r="AD42" s="127"/>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row>
    <row r="43" spans="1:89" ht="12.75" customHeight="1" x14ac:dyDescent="0.4">
      <c r="I43" s="64"/>
      <c r="J43" s="67"/>
      <c r="K43" s="67"/>
      <c r="L43" s="67"/>
      <c r="M43" s="67"/>
      <c r="CH43" s="252"/>
      <c r="CI43" s="252"/>
      <c r="CJ43" s="252"/>
      <c r="CK43" s="252"/>
    </row>
    <row r="44" spans="1:89" s="64" customFormat="1" x14ac:dyDescent="0.4">
      <c r="A44" s="64" t="s">
        <v>124</v>
      </c>
      <c r="F44" s="207"/>
      <c r="G44" s="207"/>
      <c r="H44" s="207"/>
      <c r="I44" s="207"/>
      <c r="J44" s="208" t="s">
        <v>216</v>
      </c>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row>
    <row r="45" spans="1:89" s="64" customFormat="1" x14ac:dyDescent="0.4">
      <c r="A45" s="64" t="s">
        <v>128</v>
      </c>
      <c r="B45" s="71" t="s">
        <v>94</v>
      </c>
      <c r="C45" s="71" t="s">
        <v>75</v>
      </c>
      <c r="D45" s="64" t="s">
        <v>98</v>
      </c>
      <c r="F45" s="207" t="s">
        <v>129</v>
      </c>
      <c r="G45" s="207" t="s">
        <v>94</v>
      </c>
      <c r="H45" s="207" t="s">
        <v>75</v>
      </c>
      <c r="I45" s="207" t="s">
        <v>98</v>
      </c>
      <c r="J45" s="207" t="s">
        <v>217</v>
      </c>
      <c r="K45" s="67"/>
      <c r="L45" s="67"/>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row>
    <row r="46" spans="1:89" s="64" customFormat="1" x14ac:dyDescent="0.4">
      <c r="A46" s="251" t="s">
        <v>154</v>
      </c>
      <c r="B46" s="244" t="str">
        <f>IF($I$5="","",SLOPE($I$14:$I$15,$B$14:$B$15))</f>
        <v/>
      </c>
      <c r="C46" s="244" t="str">
        <f>IF($I$5="","",INTERCEPT($I$14:$I$15,$B$14:$B$15))</f>
        <v/>
      </c>
      <c r="D46" s="110" t="str">
        <f>IF($I$5="","",ABS(($I$5-$C$46)/$B$46))</f>
        <v/>
      </c>
      <c r="E46" s="110"/>
      <c r="F46" s="251" t="s">
        <v>154</v>
      </c>
      <c r="G46" s="244" t="str">
        <f>IF($I$6="","",SLOPE($K$14:$K$15,$B$14:$B$15))</f>
        <v/>
      </c>
      <c r="H46" s="244" t="str">
        <f>IF($I$6="","",INTERCEPT($K$14:$K$15,$B$14:$B$15))</f>
        <v/>
      </c>
      <c r="I46" s="110" t="str">
        <f>IF($I$6="","",ABS(($I$6-$H$46)/$G$46))</f>
        <v/>
      </c>
      <c r="J46" s="128">
        <f>MAX($D$46,$I$46)</f>
        <v>0</v>
      </c>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row>
    <row r="47" spans="1:89" x14ac:dyDescent="0.4">
      <c r="A47" s="251" t="s">
        <v>125</v>
      </c>
      <c r="B47" s="244" t="str">
        <f>IF($I$5="","",SLOPE($I$15:$I$16,$B$15:$B$16))</f>
        <v/>
      </c>
      <c r="C47" s="244" t="str">
        <f>IF($I$5="","",INTERCEPT($I$15:$I$16,$B$15:$B$16))</f>
        <v/>
      </c>
      <c r="D47" s="110" t="str">
        <f>IF($I$5="","",ABS(($I$5-$C$47)/$B$47))</f>
        <v/>
      </c>
      <c r="E47" s="110"/>
      <c r="F47" s="251" t="s">
        <v>125</v>
      </c>
      <c r="G47" s="244" t="str">
        <f>IF($I$6="","",SLOPE($K$15:$K$16,$B$15:$B$16))</f>
        <v/>
      </c>
      <c r="H47" s="244" t="str">
        <f>IF($I$6="","",INTERCEPT($K$15:$K$16,$B$15:$B$16))</f>
        <v/>
      </c>
      <c r="I47" s="110" t="str">
        <f>IF($I$6="","",ABS(($I$6-$H$47)/$G$47))</f>
        <v/>
      </c>
      <c r="J47" s="128">
        <f>MAX($D$47,$I$47)</f>
        <v>0</v>
      </c>
      <c r="K47" s="109"/>
      <c r="L47" s="109"/>
      <c r="M47" s="67"/>
      <c r="CH47" s="252"/>
      <c r="CI47" s="252"/>
      <c r="CJ47" s="252"/>
      <c r="CK47" s="252"/>
    </row>
    <row r="48" spans="1:89" x14ac:dyDescent="0.4">
      <c r="A48" s="251" t="s">
        <v>126</v>
      </c>
      <c r="B48" s="244" t="str">
        <f>IF($I$5="","",SLOPE($I$16:$I$17,$B$16:$B$17))</f>
        <v/>
      </c>
      <c r="C48" s="244" t="str">
        <f>IF($I$5="","",INTERCEPT($I$16:$I$17,$B$16:$B$17))</f>
        <v/>
      </c>
      <c r="D48" s="110" t="str">
        <f>IF($I$5="","",ABS(($I$5-$C$48)/$B$48))</f>
        <v/>
      </c>
      <c r="E48" s="110"/>
      <c r="F48" s="251" t="s">
        <v>126</v>
      </c>
      <c r="G48" s="244" t="str">
        <f>IF($I$6="","",SLOPE($K$16:$K$17,$B$16:$B$17))</f>
        <v/>
      </c>
      <c r="H48" s="244" t="str">
        <f>IF($I$6="","",INTERCEPT($K$16:$K$17,$B$16:$B$17))</f>
        <v/>
      </c>
      <c r="I48" s="110" t="str">
        <f>IF($I$6="","",ABS(($I$6-$H$48)/$G$48))</f>
        <v/>
      </c>
      <c r="J48" s="128">
        <f>MAX($D$48,$I$48)</f>
        <v>0</v>
      </c>
      <c r="K48" s="109"/>
      <c r="L48" s="109"/>
      <c r="M48" s="67"/>
      <c r="CH48" s="252"/>
      <c r="CI48" s="252"/>
      <c r="CJ48" s="252"/>
      <c r="CK48" s="252"/>
    </row>
    <row r="49" spans="1:89" x14ac:dyDescent="0.4">
      <c r="A49" s="251" t="s">
        <v>127</v>
      </c>
      <c r="B49" s="244" t="str">
        <f>IF($I$5="","",SLOPE($I$17:$I$18,$B$17:$B$18))</f>
        <v/>
      </c>
      <c r="C49" s="244" t="str">
        <f>IF($I$5="","",INTERCEPT($I$17:$I$18,$B$17:$B$18))</f>
        <v/>
      </c>
      <c r="D49" s="110" t="str">
        <f>IF($I$5="","",ABS(($I$5-$C$49)/$B$49))</f>
        <v/>
      </c>
      <c r="E49" s="110"/>
      <c r="F49" s="251" t="s">
        <v>127</v>
      </c>
      <c r="G49" s="244" t="str">
        <f>IF($I$6="","",SLOPE($K$17:$K$18,$B$17:$B$18))</f>
        <v/>
      </c>
      <c r="H49" s="244" t="str">
        <f>IF($I$6="","",INTERCEPT($K$17:$K$18,$B$17:$B$18))</f>
        <v/>
      </c>
      <c r="I49" s="110" t="str">
        <f>IF($I$6="","",ABS(($I$6-$H$49)/$G$49))</f>
        <v/>
      </c>
      <c r="J49" s="128">
        <f>MAX($D$49,$I$49)</f>
        <v>0</v>
      </c>
      <c r="K49" s="67"/>
      <c r="L49" s="67"/>
      <c r="M49" s="67"/>
      <c r="CH49" s="252"/>
      <c r="CI49" s="252"/>
      <c r="CJ49" s="252"/>
      <c r="CK49" s="252"/>
    </row>
    <row r="50" spans="1:89" x14ac:dyDescent="0.4">
      <c r="J50" s="67"/>
      <c r="K50" s="67"/>
      <c r="L50" s="67"/>
      <c r="M50" s="67"/>
      <c r="CG50" s="252"/>
      <c r="CH50" s="252"/>
      <c r="CI50" s="252"/>
      <c r="CJ50" s="252"/>
      <c r="CK50" s="252"/>
    </row>
    <row r="51" spans="1:89" ht="13" thickBot="1" x14ac:dyDescent="0.45">
      <c r="A51" s="267" t="s">
        <v>246</v>
      </c>
      <c r="C51" s="271" t="s">
        <v>249</v>
      </c>
      <c r="D51" s="271" t="s">
        <v>250</v>
      </c>
      <c r="E51" s="271" t="s">
        <v>251</v>
      </c>
      <c r="F51" s="271" t="s">
        <v>252</v>
      </c>
      <c r="J51" s="67"/>
      <c r="K51" s="67"/>
      <c r="L51" s="67"/>
      <c r="M51" s="67"/>
      <c r="CG51" s="252"/>
      <c r="CH51" s="252"/>
      <c r="CI51" s="252"/>
      <c r="CJ51" s="252"/>
      <c r="CK51" s="252"/>
    </row>
    <row r="52" spans="1:89" s="64" customFormat="1" ht="13" thickBot="1" x14ac:dyDescent="0.45">
      <c r="A52" s="273" t="s">
        <v>155</v>
      </c>
      <c r="B52" s="274"/>
      <c r="C52" s="272">
        <f>IF(OR($J$15="NO",$L$15="NO"),"",$J$46)</f>
        <v>0</v>
      </c>
      <c r="D52" s="272">
        <f>IF(OR($J$16="NO",$L$16="NO"),"",$J$47)</f>
        <v>0</v>
      </c>
      <c r="E52" s="272">
        <f>IF(OR($J$17="NO",$L$17="NO"),"",J48)</f>
        <v>0</v>
      </c>
      <c r="F52" s="272">
        <f>IF(OR($J$18="NO",$L$18="NO"),"",$J$49)</f>
        <v>0</v>
      </c>
      <c r="J52" s="109"/>
      <c r="K52" s="67"/>
      <c r="L52" s="67"/>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row>
    <row r="53" spans="1:89" x14ac:dyDescent="0.4">
      <c r="J53" s="67"/>
      <c r="K53" s="67"/>
      <c r="L53" s="67"/>
      <c r="M53" s="67"/>
      <c r="CG53" s="252"/>
      <c r="CH53" s="252"/>
      <c r="CI53" s="252"/>
      <c r="CJ53" s="252"/>
      <c r="CK53" s="252"/>
    </row>
    <row r="54" spans="1:89" x14ac:dyDescent="0.4">
      <c r="J54" s="67"/>
      <c r="K54" s="109"/>
      <c r="L54" s="109"/>
      <c r="M54" s="67"/>
      <c r="CG54" s="252"/>
      <c r="CH54" s="252"/>
      <c r="CI54" s="252"/>
      <c r="CJ54" s="252"/>
      <c r="CK54" s="252"/>
    </row>
    <row r="55" spans="1:89" x14ac:dyDescent="0.4">
      <c r="A55" s="64" t="s">
        <v>66</v>
      </c>
      <c r="B55" s="64"/>
      <c r="C55" s="64"/>
      <c r="D55" s="64"/>
      <c r="E55" s="64"/>
      <c r="F55" s="64"/>
      <c r="G55" s="64"/>
      <c r="H55" s="64"/>
      <c r="I55" s="64"/>
      <c r="J55" s="64"/>
      <c r="K55" s="67"/>
      <c r="L55" s="67"/>
      <c r="M55" s="109"/>
      <c r="N55" s="109"/>
      <c r="O55" s="109"/>
      <c r="P55" s="109"/>
      <c r="Q55" s="109"/>
      <c r="R55" s="109"/>
      <c r="S55" s="109"/>
      <c r="T55" s="109"/>
      <c r="U55" s="109"/>
      <c r="V55" s="109"/>
      <c r="W55" s="109"/>
      <c r="Y55" s="109"/>
      <c r="Z55" s="109"/>
      <c r="AA55" s="109"/>
      <c r="AB55" s="109"/>
      <c r="AC55" s="109"/>
      <c r="AD55" s="109"/>
      <c r="AE55" s="109"/>
      <c r="AF55" s="109"/>
      <c r="AG55" s="109"/>
      <c r="AH55" s="109"/>
      <c r="CG55" s="252"/>
      <c r="CH55" s="252"/>
      <c r="CI55" s="252"/>
      <c r="CJ55" s="252"/>
      <c r="CK55" s="252"/>
    </row>
    <row r="56" spans="1:89" x14ac:dyDescent="0.4">
      <c r="K56" s="67"/>
      <c r="L56" s="67"/>
      <c r="M56" s="67"/>
      <c r="CG56" s="252"/>
      <c r="CH56" s="252"/>
      <c r="CI56" s="252"/>
      <c r="CJ56" s="252"/>
      <c r="CK56" s="252"/>
    </row>
    <row r="57" spans="1:89" x14ac:dyDescent="0.4">
      <c r="B57" s="106"/>
      <c r="C57" s="106"/>
      <c r="D57" s="106"/>
      <c r="E57" s="106"/>
      <c r="G57" s="106"/>
      <c r="H57" s="106"/>
      <c r="I57" s="106"/>
      <c r="J57" s="106"/>
      <c r="K57" s="64"/>
      <c r="L57" s="67"/>
      <c r="M57" s="67"/>
      <c r="O57" s="262"/>
      <c r="P57" s="262"/>
      <c r="Q57" s="262"/>
      <c r="S57" s="262"/>
      <c r="T57" s="262"/>
      <c r="U57" s="262"/>
      <c r="V57" s="262"/>
      <c r="W57" s="262"/>
      <c r="X57" s="262"/>
      <c r="AA57" s="262"/>
      <c r="AB57" s="262"/>
      <c r="AC57" s="262"/>
      <c r="AD57" s="262"/>
      <c r="AF57" s="262"/>
      <c r="AG57" s="262"/>
      <c r="AH57" s="262"/>
      <c r="AI57" s="262"/>
      <c r="CH57" s="252"/>
      <c r="CI57" s="252"/>
      <c r="CJ57" s="252"/>
      <c r="CK57" s="252"/>
    </row>
    <row r="58" spans="1:89" x14ac:dyDescent="0.4">
      <c r="A58" s="64" t="s">
        <v>67</v>
      </c>
      <c r="B58" s="107"/>
      <c r="C58" s="107"/>
      <c r="D58" s="107"/>
      <c r="E58" s="107"/>
      <c r="F58" s="64" t="s">
        <v>5</v>
      </c>
      <c r="G58" s="107"/>
      <c r="H58" s="107"/>
      <c r="I58" s="107"/>
      <c r="J58" s="107"/>
      <c r="L58" s="67"/>
      <c r="M58" s="67"/>
      <c r="N58" s="109"/>
      <c r="O58" s="262"/>
      <c r="P58" s="262"/>
      <c r="Q58" s="262"/>
      <c r="R58" s="109"/>
      <c r="S58" s="262"/>
      <c r="T58" s="262"/>
      <c r="U58" s="262"/>
      <c r="V58" s="262"/>
      <c r="W58" s="262"/>
      <c r="X58" s="262"/>
      <c r="Z58" s="109"/>
      <c r="AA58" s="262"/>
      <c r="AB58" s="262"/>
      <c r="AC58" s="262"/>
      <c r="AD58" s="262"/>
      <c r="AE58" s="109"/>
      <c r="AF58" s="262"/>
      <c r="AG58" s="262"/>
      <c r="AH58" s="262"/>
      <c r="AI58" s="262"/>
      <c r="CH58" s="252"/>
      <c r="CI58" s="252"/>
      <c r="CJ58" s="252"/>
      <c r="CK58" s="252"/>
    </row>
    <row r="59" spans="1:89" x14ac:dyDescent="0.4">
      <c r="B59" s="67"/>
      <c r="C59" s="67"/>
      <c r="D59" s="67"/>
      <c r="E59" s="67"/>
      <c r="F59" s="67"/>
      <c r="G59" s="67"/>
      <c r="H59" s="67"/>
      <c r="I59" s="67"/>
      <c r="J59" s="67"/>
      <c r="K59" s="106"/>
      <c r="L59" s="106"/>
      <c r="M59" s="67"/>
      <c r="CH59" s="252"/>
      <c r="CI59" s="252"/>
      <c r="CJ59" s="252"/>
      <c r="CK59" s="252"/>
    </row>
    <row r="60" spans="1:89" x14ac:dyDescent="0.4">
      <c r="B60" s="49" t="s">
        <v>131</v>
      </c>
      <c r="C60"/>
      <c r="D60"/>
      <c r="E60"/>
      <c r="F60"/>
      <c r="G60"/>
      <c r="H60"/>
      <c r="I60"/>
      <c r="J60"/>
      <c r="K60" s="108"/>
      <c r="L60" s="108"/>
      <c r="M60"/>
      <c r="CH60" s="252"/>
      <c r="CI60" s="252"/>
      <c r="CJ60" s="252"/>
      <c r="CK60" s="252"/>
    </row>
    <row r="61" spans="1:89" x14ac:dyDescent="0.4">
      <c r="A61">
        <v>1</v>
      </c>
      <c r="B61" s="49" t="s">
        <v>132</v>
      </c>
      <c r="C61"/>
      <c r="D61"/>
      <c r="E61"/>
      <c r="F61"/>
      <c r="G61"/>
      <c r="H61"/>
      <c r="I61"/>
      <c r="J61"/>
      <c r="K61" s="67"/>
      <c r="L61" s="67"/>
      <c r="M61"/>
      <c r="CH61" s="252"/>
      <c r="CI61" s="252"/>
      <c r="CJ61" s="252"/>
      <c r="CK61" s="252"/>
    </row>
    <row r="62" spans="1:89" x14ac:dyDescent="0.4">
      <c r="A62"/>
      <c r="B62" s="49" t="s">
        <v>134</v>
      </c>
      <c r="C62"/>
      <c r="D62"/>
      <c r="E62"/>
      <c r="F62"/>
      <c r="G62"/>
      <c r="H62"/>
      <c r="I62"/>
      <c r="J62"/>
      <c r="K62"/>
      <c r="L62"/>
      <c r="M62"/>
      <c r="CH62" s="252"/>
      <c r="CI62" s="252"/>
      <c r="CJ62" s="252"/>
      <c r="CK62" s="252"/>
    </row>
    <row r="63" spans="1:89" x14ac:dyDescent="0.4">
      <c r="A63">
        <v>2</v>
      </c>
      <c r="B63" s="49" t="s">
        <v>133</v>
      </c>
      <c r="C63"/>
      <c r="D63"/>
      <c r="E63"/>
      <c r="F63"/>
      <c r="G63"/>
      <c r="H63"/>
      <c r="I63"/>
      <c r="J63"/>
      <c r="K63"/>
      <c r="L63"/>
      <c r="M63"/>
      <c r="CH63" s="252"/>
      <c r="CI63" s="252"/>
      <c r="CJ63" s="252"/>
      <c r="CK63" s="252"/>
    </row>
    <row r="64" spans="1:89" x14ac:dyDescent="0.4">
      <c r="A64" s="252">
        <v>3</v>
      </c>
      <c r="B64" s="49" t="s">
        <v>234</v>
      </c>
      <c r="C64" s="97"/>
      <c r="D64" s="98"/>
      <c r="E64" s="99"/>
      <c r="F64" s="98"/>
      <c r="G64" s="262"/>
      <c r="H64" s="262"/>
      <c r="I64" s="262"/>
      <c r="J64" s="262"/>
      <c r="K64"/>
      <c r="L64"/>
      <c r="M64" s="67"/>
      <c r="CH64" s="252"/>
      <c r="CI64" s="252"/>
      <c r="CJ64" s="252"/>
      <c r="CK64" s="252"/>
    </row>
    <row r="65" spans="2:163" x14ac:dyDescent="0.4">
      <c r="B65" s="67"/>
      <c r="C65" s="97"/>
      <c r="D65" s="98"/>
      <c r="E65" s="99"/>
      <c r="F65" s="98"/>
      <c r="G65" s="262"/>
      <c r="H65" s="262"/>
      <c r="I65" s="262"/>
      <c r="J65" s="262"/>
      <c r="K65"/>
      <c r="L65"/>
      <c r="M65" s="67"/>
      <c r="CH65" s="252"/>
      <c r="CI65" s="252"/>
      <c r="CJ65" s="252"/>
      <c r="CK65" s="252"/>
    </row>
    <row r="66" spans="2:163" x14ac:dyDescent="0.4">
      <c r="B66" s="67"/>
      <c r="C66" s="97"/>
      <c r="D66" s="98"/>
      <c r="E66" s="99"/>
      <c r="F66" s="98"/>
      <c r="G66" s="262"/>
      <c r="H66" s="262"/>
      <c r="I66" s="262"/>
      <c r="J66" s="262"/>
      <c r="K66" s="262"/>
      <c r="L66" s="262"/>
      <c r="M66" s="67"/>
      <c r="CH66" s="252"/>
      <c r="CI66" s="252"/>
      <c r="CJ66" s="252"/>
      <c r="CK66" s="252"/>
    </row>
    <row r="67" spans="2:163" x14ac:dyDescent="0.4">
      <c r="B67" s="67"/>
      <c r="C67" s="262"/>
      <c r="D67" s="262"/>
      <c r="E67" s="260"/>
      <c r="F67" s="262"/>
      <c r="G67" s="262"/>
      <c r="H67" s="262"/>
      <c r="I67" s="262"/>
      <c r="J67" s="262"/>
      <c r="K67" s="262"/>
      <c r="L67" s="262"/>
      <c r="M67" s="67"/>
      <c r="CH67" s="252"/>
      <c r="CI67" s="252"/>
      <c r="CJ67" s="252"/>
      <c r="CK67" s="252"/>
    </row>
    <row r="68" spans="2:163" x14ac:dyDescent="0.4">
      <c r="B68" s="67"/>
      <c r="C68" s="97"/>
      <c r="D68" s="97"/>
      <c r="E68" s="91"/>
      <c r="F68" s="97"/>
      <c r="G68" s="97"/>
      <c r="H68" s="97"/>
      <c r="I68" s="97"/>
      <c r="J68" s="97"/>
      <c r="K68" s="262"/>
      <c r="L68" s="262"/>
      <c r="M68" s="67"/>
      <c r="CH68" s="252"/>
      <c r="CI68" s="252"/>
      <c r="CJ68" s="252"/>
      <c r="CK68" s="252"/>
    </row>
    <row r="69" spans="2:163" x14ac:dyDescent="0.4">
      <c r="B69" s="67"/>
      <c r="C69" s="262"/>
      <c r="D69" s="262"/>
      <c r="E69" s="260"/>
      <c r="F69" s="262"/>
      <c r="G69" s="262"/>
      <c r="H69" s="262"/>
      <c r="I69" s="262"/>
      <c r="J69" s="262"/>
      <c r="K69" s="262"/>
      <c r="L69" s="262"/>
      <c r="M69" s="67"/>
      <c r="CH69" s="252"/>
      <c r="CI69" s="252"/>
      <c r="CJ69" s="252"/>
      <c r="CK69" s="252"/>
    </row>
    <row r="70" spans="2:163" x14ac:dyDescent="0.4">
      <c r="B70" s="67"/>
      <c r="C70" s="262"/>
      <c r="D70" s="262"/>
      <c r="E70" s="260"/>
      <c r="F70" s="262"/>
      <c r="G70" s="262"/>
      <c r="H70" s="262"/>
      <c r="I70" s="262"/>
      <c r="J70" s="262"/>
      <c r="K70" s="97"/>
      <c r="L70" s="97"/>
      <c r="M70" s="67"/>
      <c r="CH70" s="252"/>
      <c r="CI70" s="252"/>
      <c r="CJ70" s="252"/>
      <c r="CK70" s="252"/>
    </row>
    <row r="71" spans="2:163" x14ac:dyDescent="0.4">
      <c r="B71" s="67"/>
      <c r="C71" s="262"/>
      <c r="D71" s="262"/>
      <c r="E71" s="260"/>
      <c r="F71" s="262"/>
      <c r="G71" s="262"/>
      <c r="H71" s="262"/>
      <c r="I71" s="262"/>
      <c r="J71" s="262"/>
      <c r="K71" s="262"/>
      <c r="L71" s="262"/>
      <c r="M71" s="67"/>
      <c r="CH71" s="252"/>
      <c r="CI71" s="252"/>
      <c r="CJ71" s="252"/>
      <c r="CK71" s="252"/>
    </row>
    <row r="72" spans="2:163" x14ac:dyDescent="0.4">
      <c r="B72" s="67"/>
      <c r="C72" s="262"/>
      <c r="D72" s="262"/>
      <c r="E72" s="260"/>
      <c r="F72" s="262"/>
      <c r="G72" s="262"/>
      <c r="H72" s="262"/>
      <c r="I72" s="262"/>
      <c r="J72" s="262"/>
      <c r="K72" s="262"/>
      <c r="L72" s="262"/>
      <c r="M72" s="67"/>
      <c r="CH72" s="252"/>
      <c r="CI72" s="252"/>
      <c r="CJ72" s="252"/>
      <c r="CK72" s="252"/>
    </row>
    <row r="73" spans="2:163" x14ac:dyDescent="0.4">
      <c r="B73" s="67"/>
      <c r="C73" s="262"/>
      <c r="D73" s="262"/>
      <c r="E73" s="260"/>
      <c r="F73" s="262"/>
      <c r="G73" s="262"/>
      <c r="H73" s="262"/>
      <c r="I73" s="262"/>
      <c r="J73" s="262"/>
      <c r="K73" s="262"/>
      <c r="L73" s="262"/>
      <c r="M73" s="67"/>
      <c r="CH73" s="252"/>
      <c r="CI73" s="252"/>
      <c r="CJ73" s="252"/>
      <c r="CK73" s="252"/>
    </row>
    <row r="74" spans="2:163" x14ac:dyDescent="0.4">
      <c r="B74" s="67"/>
      <c r="C74" s="67"/>
      <c r="D74" s="67"/>
      <c r="E74" s="260"/>
      <c r="F74" s="67"/>
      <c r="G74" s="67"/>
      <c r="H74" s="67"/>
      <c r="I74" s="67"/>
      <c r="J74" s="67"/>
      <c r="K74" s="262"/>
      <c r="L74" s="262"/>
      <c r="M74" s="67"/>
      <c r="CH74" s="252"/>
      <c r="CI74" s="252"/>
      <c r="CJ74" s="252"/>
      <c r="CK74" s="252"/>
    </row>
    <row r="75" spans="2:163" x14ac:dyDescent="0.4">
      <c r="B75" s="67"/>
      <c r="C75" s="67"/>
      <c r="D75" s="67"/>
      <c r="E75" s="67"/>
      <c r="F75" s="67"/>
      <c r="G75" s="67"/>
      <c r="H75" s="67"/>
      <c r="I75" s="67"/>
      <c r="J75" s="67"/>
      <c r="K75" s="262"/>
      <c r="L75" s="262"/>
      <c r="M75" s="67"/>
      <c r="CH75" s="252"/>
      <c r="CI75" s="252"/>
      <c r="CJ75" s="252"/>
      <c r="CK75" s="252"/>
    </row>
    <row r="76" spans="2:163" x14ac:dyDescent="0.4">
      <c r="B76" s="67"/>
      <c r="C76" s="67"/>
      <c r="D76" s="67"/>
      <c r="E76" s="67"/>
      <c r="F76" s="67"/>
      <c r="G76" s="67"/>
      <c r="H76" s="67"/>
      <c r="I76" s="67"/>
      <c r="J76" s="67"/>
      <c r="K76" s="67"/>
      <c r="L76" s="67"/>
      <c r="M76" s="67"/>
      <c r="CH76" s="252"/>
      <c r="CI76" s="252"/>
      <c r="CJ76" s="252"/>
      <c r="CK76" s="252"/>
    </row>
    <row r="77" spans="2:163" x14ac:dyDescent="0.4">
      <c r="B77" s="67"/>
      <c r="C77" s="67"/>
      <c r="D77" s="67"/>
      <c r="E77" s="67"/>
      <c r="F77" s="67"/>
      <c r="G77" s="67"/>
      <c r="H77" s="67"/>
      <c r="I77" s="67"/>
      <c r="J77" s="67"/>
      <c r="K77" s="67"/>
      <c r="L77" s="67"/>
      <c r="M77" s="67"/>
      <c r="CH77" s="252"/>
      <c r="CI77" s="252"/>
      <c r="CJ77" s="252"/>
      <c r="CK77" s="252"/>
    </row>
    <row r="78" spans="2:163" x14ac:dyDescent="0.4">
      <c r="B78" s="67"/>
      <c r="C78" s="67"/>
      <c r="D78" s="67"/>
      <c r="E78" s="67"/>
      <c r="F78" s="67"/>
      <c r="G78" s="67"/>
      <c r="H78" s="67"/>
      <c r="I78" s="67"/>
      <c r="J78" s="67"/>
      <c r="K78" s="67"/>
      <c r="L78" s="67"/>
      <c r="M78" s="67"/>
      <c r="CH78" s="252"/>
      <c r="CI78" s="252"/>
      <c r="CJ78" s="252"/>
      <c r="CK78" s="252"/>
    </row>
    <row r="79" spans="2:163" x14ac:dyDescent="0.4">
      <c r="J79" s="67"/>
      <c r="K79" s="67"/>
      <c r="L79" s="67"/>
      <c r="M79" s="67"/>
      <c r="Q79" s="81"/>
      <c r="R79" s="86"/>
      <c r="S79" s="86"/>
      <c r="U79" s="100"/>
      <c r="Y79" s="260"/>
      <c r="Z79" s="260"/>
      <c r="AA79" s="260"/>
      <c r="AB79" s="81"/>
      <c r="AC79" s="85"/>
      <c r="AD79" s="86"/>
      <c r="AE79" s="101"/>
      <c r="AF79" s="86"/>
      <c r="AG79" s="86"/>
      <c r="AH79" s="260"/>
      <c r="AI79" s="81"/>
      <c r="AJ79" s="86"/>
      <c r="AK79" s="86"/>
      <c r="AM79" s="100"/>
      <c r="AO79" s="100"/>
      <c r="AP79" s="260"/>
      <c r="AQ79" s="260"/>
      <c r="AR79" s="81"/>
      <c r="AS79" s="85"/>
      <c r="AT79" s="86"/>
      <c r="AU79" s="101"/>
      <c r="AV79" s="86"/>
      <c r="AW79" s="86"/>
      <c r="AX79" s="260"/>
      <c r="AY79" s="81"/>
      <c r="AZ79" s="86"/>
      <c r="BA79" s="86"/>
      <c r="BC79" s="100"/>
      <c r="BE79" s="100"/>
      <c r="BF79" s="260"/>
      <c r="BG79" s="260"/>
      <c r="BH79" s="81"/>
      <c r="BI79" s="85"/>
      <c r="BJ79" s="86"/>
      <c r="BK79" s="101"/>
      <c r="BL79" s="86"/>
      <c r="BM79" s="86"/>
      <c r="BN79" s="260"/>
      <c r="BO79" s="81"/>
      <c r="BP79" s="86"/>
      <c r="BQ79" s="86"/>
      <c r="CK79" s="252"/>
    </row>
    <row r="80" spans="2:163" x14ac:dyDescent="0.4">
      <c r="J80" s="67"/>
      <c r="K80" s="67"/>
      <c r="L80" s="67"/>
      <c r="M80" s="67"/>
      <c r="AB80" s="262"/>
      <c r="AC80" s="91"/>
      <c r="AD80" s="97"/>
      <c r="AE80" s="97"/>
      <c r="AF80" s="91"/>
      <c r="AG80" s="97"/>
      <c r="AH80" s="97"/>
      <c r="AI80" s="97"/>
      <c r="AJ80" s="97"/>
      <c r="AK80" s="97"/>
      <c r="AR80" s="262"/>
      <c r="AS80" s="91"/>
      <c r="AT80" s="97"/>
      <c r="AU80" s="97"/>
      <c r="AV80" s="91"/>
      <c r="AW80" s="97"/>
      <c r="AX80" s="97"/>
      <c r="AY80" s="97"/>
      <c r="AZ80" s="97"/>
      <c r="BA80" s="97"/>
      <c r="BH80" s="262"/>
      <c r="BI80" s="91"/>
      <c r="BJ80" s="97"/>
      <c r="BK80" s="97"/>
      <c r="BL80" s="91"/>
      <c r="BM80" s="97"/>
      <c r="BN80" s="97"/>
      <c r="BO80" s="97"/>
      <c r="BP80" s="97"/>
      <c r="BQ80" s="97"/>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c r="EO80" s="66"/>
      <c r="EP80" s="66"/>
      <c r="EQ80" s="66"/>
      <c r="ER80" s="66"/>
      <c r="ES80" s="66"/>
      <c r="ET80" s="66"/>
      <c r="EU80" s="66"/>
      <c r="EV80" s="66"/>
      <c r="EW80" s="66"/>
      <c r="EX80" s="66"/>
      <c r="EY80" s="66"/>
      <c r="EZ80" s="66"/>
      <c r="FA80" s="66"/>
      <c r="FB80" s="66"/>
      <c r="FC80" s="66"/>
      <c r="FD80" s="66"/>
      <c r="FE80" s="66"/>
      <c r="FF80" s="66"/>
      <c r="FG80" s="66"/>
    </row>
    <row r="81" spans="1:163" x14ac:dyDescent="0.4">
      <c r="J81" s="67"/>
      <c r="K81" s="67"/>
      <c r="L81" s="67"/>
      <c r="M81" s="67"/>
      <c r="AB81" s="262"/>
      <c r="AC81" s="91"/>
      <c r="AD81" s="97"/>
      <c r="AE81" s="97"/>
      <c r="AF81" s="91"/>
      <c r="AG81" s="97"/>
      <c r="AH81" s="97"/>
      <c r="AI81" s="97"/>
      <c r="AJ81" s="97"/>
      <c r="AK81" s="97"/>
      <c r="AR81" s="262"/>
      <c r="AS81" s="91"/>
      <c r="AT81" s="97"/>
      <c r="AU81" s="97"/>
      <c r="AV81" s="91"/>
      <c r="AW81" s="97"/>
      <c r="AX81" s="97"/>
      <c r="AY81" s="97"/>
      <c r="AZ81" s="97"/>
      <c r="BA81" s="97"/>
      <c r="BH81" s="262"/>
      <c r="BI81" s="91"/>
      <c r="BJ81" s="97"/>
      <c r="BK81" s="97"/>
      <c r="BL81" s="91"/>
      <c r="BM81" s="97"/>
      <c r="BN81" s="97"/>
      <c r="BO81" s="97"/>
      <c r="BP81" s="97"/>
      <c r="BQ81" s="97"/>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66"/>
      <c r="FE81" s="66"/>
      <c r="FF81" s="66"/>
      <c r="FG81" s="66"/>
    </row>
    <row r="82" spans="1:163" x14ac:dyDescent="0.4">
      <c r="J82" s="67"/>
      <c r="K82" s="67"/>
      <c r="L82" s="67"/>
      <c r="M82" s="67"/>
      <c r="AB82" s="262"/>
      <c r="AC82" s="91"/>
      <c r="AD82" s="97"/>
      <c r="AE82" s="97"/>
      <c r="AF82" s="91"/>
      <c r="AG82" s="97"/>
      <c r="AH82" s="97"/>
      <c r="AI82" s="97"/>
      <c r="AJ82" s="97"/>
      <c r="AK82" s="97"/>
      <c r="AR82" s="262"/>
      <c r="AS82" s="91"/>
      <c r="AT82" s="97"/>
      <c r="AU82" s="97"/>
      <c r="AV82" s="91"/>
      <c r="AW82" s="97"/>
      <c r="AX82" s="97"/>
      <c r="AY82" s="97"/>
      <c r="AZ82" s="97"/>
      <c r="BA82" s="97"/>
      <c r="BH82" s="262"/>
      <c r="BI82" s="91"/>
      <c r="BJ82" s="97"/>
      <c r="BK82" s="97"/>
      <c r="BL82" s="91"/>
      <c r="BM82" s="97"/>
      <c r="BN82" s="97"/>
      <c r="BO82" s="97"/>
      <c r="BP82" s="97"/>
      <c r="BQ82" s="97"/>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6"/>
      <c r="FF82" s="66"/>
      <c r="FG82" s="66"/>
    </row>
    <row r="83" spans="1:163" x14ac:dyDescent="0.4">
      <c r="J83" s="67"/>
      <c r="K83" s="67"/>
      <c r="L83" s="67"/>
      <c r="M83" s="67"/>
      <c r="AB83" s="262"/>
      <c r="AC83" s="91"/>
      <c r="AD83" s="262"/>
      <c r="AE83" s="98"/>
      <c r="AF83" s="99"/>
      <c r="AG83" s="98"/>
      <c r="AH83" s="262"/>
      <c r="AI83" s="262"/>
      <c r="AJ83" s="262"/>
      <c r="AK83" s="262"/>
      <c r="AR83" s="262"/>
      <c r="AS83" s="91"/>
      <c r="AT83" s="262"/>
      <c r="AU83" s="98"/>
      <c r="AV83" s="99"/>
      <c r="AW83" s="98"/>
      <c r="AX83" s="262"/>
      <c r="AY83" s="262"/>
      <c r="AZ83" s="262"/>
      <c r="BA83" s="262"/>
      <c r="BH83" s="262"/>
      <c r="BI83" s="91"/>
      <c r="BJ83" s="262"/>
      <c r="BK83" s="98"/>
      <c r="BL83" s="99"/>
      <c r="BM83" s="98"/>
      <c r="BN83" s="262"/>
      <c r="BO83" s="262"/>
      <c r="BP83" s="262"/>
      <c r="BQ83" s="262"/>
    </row>
    <row r="84" spans="1:163" x14ac:dyDescent="0.4">
      <c r="J84" s="67"/>
      <c r="K84" s="67"/>
      <c r="L84" s="67"/>
      <c r="M84" s="67"/>
      <c r="AB84" s="262"/>
      <c r="AC84" s="91"/>
      <c r="AD84" s="97"/>
      <c r="AE84" s="98"/>
      <c r="AF84" s="99"/>
      <c r="AG84" s="98"/>
      <c r="AH84" s="262"/>
      <c r="AI84" s="262"/>
      <c r="AJ84" s="262"/>
      <c r="AK84" s="262"/>
      <c r="AR84" s="262"/>
      <c r="AS84" s="91"/>
      <c r="AT84" s="97"/>
      <c r="AU84" s="98"/>
      <c r="AV84" s="99"/>
      <c r="AW84" s="98"/>
      <c r="AX84" s="262"/>
      <c r="AY84" s="262"/>
      <c r="AZ84" s="262"/>
      <c r="BA84" s="262"/>
      <c r="BH84" s="262"/>
      <c r="BI84" s="91"/>
      <c r="BJ84" s="97"/>
      <c r="BK84" s="98"/>
      <c r="BL84" s="99"/>
      <c r="BM84" s="98"/>
      <c r="BN84" s="262"/>
      <c r="BO84" s="262"/>
      <c r="BP84" s="262"/>
      <c r="BQ84" s="262"/>
    </row>
    <row r="85" spans="1:163" x14ac:dyDescent="0.4">
      <c r="J85" s="67"/>
      <c r="K85" s="67"/>
      <c r="L85" s="67"/>
      <c r="M85" s="67"/>
      <c r="AB85" s="262"/>
      <c r="AC85" s="91"/>
      <c r="AD85" s="97"/>
      <c r="AE85" s="98"/>
      <c r="AF85" s="99"/>
      <c r="AG85" s="98"/>
      <c r="AH85" s="262"/>
      <c r="AI85" s="262"/>
      <c r="AJ85" s="262"/>
      <c r="AK85" s="262"/>
      <c r="AR85" s="262"/>
      <c r="AS85" s="91"/>
      <c r="AT85" s="97"/>
      <c r="AU85" s="98"/>
      <c r="AV85" s="99"/>
      <c r="AW85" s="98"/>
      <c r="AX85" s="262"/>
      <c r="AY85" s="262"/>
      <c r="AZ85" s="262"/>
      <c r="BA85" s="262"/>
      <c r="BH85" s="262"/>
      <c r="BI85" s="91"/>
      <c r="BJ85" s="97"/>
      <c r="BK85" s="98"/>
      <c r="BL85" s="99"/>
      <c r="BM85" s="98"/>
      <c r="BN85" s="262"/>
      <c r="BO85" s="262"/>
      <c r="BP85" s="262"/>
      <c r="BQ85" s="262"/>
    </row>
    <row r="86" spans="1:163" x14ac:dyDescent="0.4">
      <c r="J86" s="67"/>
      <c r="K86" s="67"/>
      <c r="L86" s="67"/>
      <c r="M86" s="67"/>
      <c r="AB86" s="262"/>
      <c r="AC86" s="102"/>
      <c r="AD86" s="97"/>
      <c r="AE86" s="98"/>
      <c r="AF86" s="99"/>
      <c r="AG86" s="98"/>
      <c r="AH86" s="262"/>
      <c r="AI86" s="262"/>
      <c r="AJ86" s="262"/>
      <c r="AK86" s="262"/>
      <c r="AR86" s="262"/>
      <c r="AS86" s="102"/>
      <c r="AT86" s="97"/>
      <c r="AU86" s="98"/>
      <c r="AV86" s="99"/>
      <c r="AW86" s="98"/>
      <c r="AX86" s="262"/>
      <c r="AY86" s="262"/>
      <c r="AZ86" s="262"/>
      <c r="BA86" s="262"/>
      <c r="BH86" s="262"/>
      <c r="BI86" s="102"/>
      <c r="BJ86" s="97"/>
      <c r="BK86" s="98"/>
      <c r="BL86" s="99"/>
      <c r="BM86" s="98"/>
      <c r="BN86" s="262"/>
      <c r="BO86" s="262"/>
      <c r="BP86" s="262"/>
      <c r="BQ86" s="262"/>
    </row>
    <row r="87" spans="1:163" x14ac:dyDescent="0.4">
      <c r="J87" s="67"/>
      <c r="K87" s="67"/>
      <c r="L87" s="67"/>
      <c r="M87" s="67"/>
      <c r="AB87" s="97"/>
      <c r="AC87" s="91"/>
      <c r="AD87" s="97"/>
      <c r="AE87" s="97"/>
      <c r="AF87" s="91"/>
      <c r="AG87" s="97"/>
      <c r="AH87" s="97"/>
      <c r="AI87" s="97"/>
      <c r="AJ87" s="97"/>
      <c r="AK87" s="97"/>
      <c r="AR87" s="97"/>
      <c r="AS87" s="91"/>
      <c r="AT87" s="97"/>
      <c r="AU87" s="97"/>
      <c r="AV87" s="91"/>
      <c r="AW87" s="97"/>
      <c r="AX87" s="97"/>
      <c r="AY87" s="97"/>
      <c r="AZ87" s="97"/>
      <c r="BA87" s="97"/>
      <c r="BH87" s="97"/>
      <c r="BI87" s="91"/>
      <c r="BJ87" s="97"/>
      <c r="BK87" s="97"/>
      <c r="BL87" s="91"/>
      <c r="BM87" s="97"/>
      <c r="BN87" s="97"/>
      <c r="BO87" s="97"/>
      <c r="BP87" s="97"/>
      <c r="BQ87" s="97"/>
    </row>
    <row r="88" spans="1:163" x14ac:dyDescent="0.4">
      <c r="J88" s="67"/>
      <c r="K88" s="67"/>
      <c r="L88" s="67"/>
      <c r="M88" s="67"/>
      <c r="AB88" s="262"/>
      <c r="AC88" s="260"/>
      <c r="AD88" s="262"/>
      <c r="AE88" s="262"/>
      <c r="AF88" s="260"/>
      <c r="AG88" s="262"/>
      <c r="AH88" s="262"/>
      <c r="AI88" s="262"/>
      <c r="AJ88" s="262"/>
      <c r="AK88" s="262"/>
      <c r="AR88" s="262"/>
      <c r="AS88" s="260"/>
      <c r="AT88" s="262"/>
      <c r="AU88" s="262"/>
      <c r="AV88" s="260"/>
      <c r="AW88" s="262"/>
      <c r="AX88" s="262"/>
      <c r="AY88" s="262"/>
      <c r="AZ88" s="262"/>
      <c r="BA88" s="262"/>
      <c r="BH88" s="262"/>
      <c r="BI88" s="260"/>
      <c r="BJ88" s="262"/>
      <c r="BK88" s="262"/>
      <c r="BL88" s="260"/>
      <c r="BM88" s="262"/>
      <c r="BN88" s="262"/>
      <c r="BO88" s="262"/>
      <c r="BP88" s="262"/>
      <c r="BQ88" s="262"/>
    </row>
    <row r="89" spans="1:163" x14ac:dyDescent="0.4">
      <c r="J89" s="67"/>
      <c r="K89" s="67"/>
      <c r="L89" s="67"/>
      <c r="M89" s="67"/>
      <c r="AB89" s="262"/>
      <c r="AC89" s="260"/>
      <c r="AD89" s="262"/>
      <c r="AE89" s="262"/>
      <c r="AF89" s="260"/>
      <c r="AG89" s="262"/>
      <c r="AH89" s="262"/>
      <c r="AI89" s="262"/>
      <c r="AJ89" s="262"/>
      <c r="AK89" s="262"/>
      <c r="AR89" s="262"/>
      <c r="AS89" s="260"/>
      <c r="AT89" s="262"/>
      <c r="AU89" s="262"/>
      <c r="AV89" s="260"/>
      <c r="AW89" s="262"/>
      <c r="AX89" s="262"/>
      <c r="AY89" s="262"/>
      <c r="AZ89" s="262"/>
      <c r="BA89" s="262"/>
      <c r="BH89" s="262"/>
      <c r="BI89" s="260"/>
      <c r="BJ89" s="262"/>
      <c r="BK89" s="262"/>
      <c r="BL89" s="260"/>
      <c r="BM89" s="262"/>
      <c r="BN89" s="262"/>
      <c r="BO89" s="262"/>
      <c r="BP89" s="262"/>
      <c r="BQ89" s="262"/>
    </row>
    <row r="90" spans="1:163" x14ac:dyDescent="0.4">
      <c r="J90" s="67"/>
      <c r="K90" s="67"/>
      <c r="L90" s="67"/>
      <c r="M90" s="67"/>
      <c r="AB90" s="262"/>
      <c r="AC90" s="103"/>
      <c r="AD90" s="262"/>
      <c r="AE90" s="262"/>
      <c r="AF90" s="260"/>
      <c r="AG90" s="262"/>
      <c r="AH90" s="262"/>
      <c r="AI90" s="262"/>
      <c r="AJ90" s="262"/>
      <c r="AK90" s="262"/>
      <c r="AR90" s="262"/>
      <c r="AS90" s="103"/>
      <c r="AT90" s="262"/>
      <c r="AU90" s="262"/>
      <c r="AV90" s="260"/>
      <c r="AW90" s="262"/>
      <c r="AX90" s="262"/>
      <c r="AY90" s="262"/>
      <c r="AZ90" s="262"/>
      <c r="BA90" s="262"/>
      <c r="BH90" s="262"/>
      <c r="BI90" s="103"/>
      <c r="BJ90" s="262"/>
      <c r="BK90" s="262"/>
      <c r="BL90" s="260"/>
      <c r="BM90" s="262"/>
      <c r="BN90" s="262"/>
      <c r="BO90" s="262"/>
      <c r="BP90" s="262"/>
      <c r="BQ90" s="262"/>
    </row>
    <row r="91" spans="1:163" s="66" customFormat="1" x14ac:dyDescent="0.4">
      <c r="A91" s="252"/>
      <c r="B91" s="252"/>
      <c r="C91" s="252"/>
      <c r="D91" s="252"/>
      <c r="E91" s="252"/>
      <c r="F91" s="252"/>
      <c r="G91" s="252"/>
      <c r="H91" s="252"/>
      <c r="I91" s="252"/>
      <c r="J91" s="67"/>
      <c r="K91" s="67"/>
      <c r="L91" s="67"/>
      <c r="M91" s="67"/>
      <c r="N91" s="67"/>
      <c r="O91" s="67"/>
      <c r="P91" s="67"/>
      <c r="Q91" s="67"/>
      <c r="R91" s="67"/>
      <c r="S91" s="67"/>
      <c r="T91" s="67"/>
      <c r="U91" s="67"/>
      <c r="V91" s="67"/>
      <c r="W91" s="67"/>
      <c r="X91" s="67"/>
      <c r="Y91" s="67"/>
      <c r="Z91" s="67"/>
      <c r="AA91" s="67"/>
      <c r="AB91" s="262"/>
      <c r="AC91" s="81"/>
      <c r="AD91" s="262"/>
      <c r="AE91" s="262"/>
      <c r="AF91" s="260"/>
      <c r="AG91" s="262"/>
      <c r="AH91" s="262"/>
      <c r="AI91" s="262"/>
      <c r="AJ91" s="262"/>
      <c r="AK91" s="262"/>
      <c r="AL91" s="67"/>
      <c r="AM91" s="67"/>
      <c r="AN91" s="67"/>
      <c r="AO91" s="67"/>
      <c r="AP91" s="67"/>
      <c r="AQ91" s="67"/>
      <c r="AR91" s="262"/>
      <c r="AS91" s="81"/>
      <c r="AT91" s="262"/>
      <c r="AU91" s="262"/>
      <c r="AV91" s="260"/>
      <c r="AW91" s="262"/>
      <c r="AX91" s="262"/>
      <c r="AY91" s="262"/>
      <c r="AZ91" s="262"/>
      <c r="BA91" s="262"/>
      <c r="BB91" s="67"/>
      <c r="BC91" s="67"/>
      <c r="BD91" s="67"/>
      <c r="BE91" s="67"/>
      <c r="BF91" s="67"/>
      <c r="BG91" s="67"/>
      <c r="BH91" s="262"/>
      <c r="BI91" s="81"/>
      <c r="BJ91" s="262"/>
      <c r="BK91" s="262"/>
      <c r="BL91" s="260"/>
      <c r="BM91" s="262"/>
      <c r="BN91" s="262"/>
      <c r="BO91" s="262"/>
      <c r="BP91" s="262"/>
      <c r="BQ91" s="262"/>
      <c r="BR91" s="67"/>
      <c r="BS91" s="67"/>
      <c r="BT91" s="67"/>
      <c r="BU91" s="67"/>
      <c r="BV91" s="67"/>
      <c r="BW91" s="67"/>
      <c r="BX91" s="67"/>
      <c r="BY91" s="67"/>
      <c r="BZ91" s="67"/>
      <c r="CA91" s="67"/>
      <c r="CB91" s="67"/>
      <c r="CC91" s="67"/>
      <c r="CD91" s="67"/>
      <c r="CE91" s="67"/>
      <c r="CF91" s="67"/>
      <c r="CG91" s="67"/>
      <c r="CH91" s="67"/>
      <c r="CI91" s="67"/>
      <c r="CJ91" s="67"/>
      <c r="CK91" s="67"/>
    </row>
    <row r="92" spans="1:163" s="66" customFormat="1" x14ac:dyDescent="0.4">
      <c r="A92" s="252"/>
      <c r="B92" s="252"/>
      <c r="C92" s="252"/>
      <c r="D92" s="252"/>
      <c r="E92" s="252"/>
      <c r="F92" s="252"/>
      <c r="G92" s="252"/>
      <c r="H92" s="252"/>
      <c r="I92" s="252"/>
      <c r="J92" s="67"/>
      <c r="K92" s="67"/>
      <c r="L92" s="67"/>
      <c r="M92" s="67"/>
      <c r="N92" s="67"/>
      <c r="O92" s="67"/>
      <c r="P92" s="67"/>
      <c r="Q92" s="67"/>
      <c r="R92" s="67"/>
      <c r="S92" s="67"/>
      <c r="T92" s="67"/>
      <c r="U92" s="67"/>
      <c r="V92" s="67"/>
      <c r="W92" s="67"/>
      <c r="X92" s="67"/>
      <c r="Y92" s="67"/>
      <c r="Z92" s="67"/>
      <c r="AA92" s="67"/>
      <c r="AB92" s="262"/>
      <c r="AC92" s="81"/>
      <c r="AD92" s="262"/>
      <c r="AE92" s="262"/>
      <c r="AF92" s="260"/>
      <c r="AG92" s="262"/>
      <c r="AH92" s="262"/>
      <c r="AI92" s="262"/>
      <c r="AJ92" s="262"/>
      <c r="AK92" s="262"/>
      <c r="AL92" s="67"/>
      <c r="AM92" s="67"/>
      <c r="AN92" s="67"/>
      <c r="AO92" s="67"/>
      <c r="AP92" s="67"/>
      <c r="AQ92" s="67"/>
      <c r="AR92" s="262"/>
      <c r="AS92" s="81"/>
      <c r="AT92" s="262"/>
      <c r="AU92" s="262"/>
      <c r="AV92" s="260"/>
      <c r="AW92" s="262"/>
      <c r="AX92" s="262"/>
      <c r="AY92" s="262"/>
      <c r="AZ92" s="262"/>
      <c r="BA92" s="262"/>
      <c r="BB92" s="67"/>
      <c r="BC92" s="67"/>
      <c r="BD92" s="67"/>
      <c r="BE92" s="67"/>
      <c r="BF92" s="67"/>
      <c r="BG92" s="67"/>
      <c r="BH92" s="262"/>
      <c r="BI92" s="81"/>
      <c r="BJ92" s="262"/>
      <c r="BK92" s="262"/>
      <c r="BL92" s="260"/>
      <c r="BM92" s="262"/>
      <c r="BN92" s="262"/>
      <c r="BO92" s="262"/>
      <c r="BP92" s="262"/>
      <c r="BQ92" s="262"/>
      <c r="BR92" s="67"/>
      <c r="BS92" s="67"/>
      <c r="BT92" s="67"/>
      <c r="BU92" s="67"/>
      <c r="BV92" s="67"/>
      <c r="BW92" s="67"/>
      <c r="BX92" s="67"/>
      <c r="BY92" s="67"/>
      <c r="BZ92" s="67"/>
      <c r="CA92" s="67"/>
      <c r="CB92" s="67"/>
      <c r="CC92" s="67"/>
      <c r="CD92" s="67"/>
      <c r="CE92" s="67"/>
      <c r="CF92" s="67"/>
      <c r="CG92" s="67"/>
      <c r="CH92" s="67"/>
      <c r="CI92" s="67"/>
      <c r="CJ92" s="67"/>
      <c r="CK92" s="67"/>
    </row>
    <row r="93" spans="1:163" s="66" customFormat="1" x14ac:dyDescent="0.4">
      <c r="A93" s="252"/>
      <c r="B93" s="252"/>
      <c r="C93" s="252"/>
      <c r="D93" s="252"/>
      <c r="E93" s="252"/>
      <c r="F93" s="252"/>
      <c r="G93" s="252"/>
      <c r="H93" s="252"/>
      <c r="I93" s="252"/>
      <c r="J93" s="67"/>
      <c r="K93" s="67"/>
      <c r="L93" s="67"/>
      <c r="M93" s="67"/>
      <c r="N93" s="67"/>
      <c r="O93" s="67"/>
      <c r="P93" s="67"/>
      <c r="Q93" s="67"/>
      <c r="R93" s="67"/>
      <c r="S93" s="67"/>
      <c r="T93" s="67"/>
      <c r="U93" s="67"/>
      <c r="V93" s="67"/>
      <c r="W93" s="67"/>
      <c r="X93" s="67"/>
      <c r="Y93" s="67"/>
      <c r="Z93" s="67"/>
      <c r="AA93" s="67"/>
      <c r="AB93" s="67"/>
      <c r="AC93" s="67"/>
      <c r="AD93" s="67"/>
      <c r="AE93" s="67"/>
      <c r="AF93" s="260"/>
      <c r="AG93" s="67"/>
      <c r="AH93" s="67"/>
      <c r="AI93" s="67"/>
      <c r="AJ93" s="67"/>
      <c r="AK93" s="67"/>
      <c r="AL93" s="67"/>
      <c r="AM93" s="67"/>
      <c r="AN93" s="67"/>
      <c r="AO93" s="67"/>
      <c r="AP93" s="67"/>
      <c r="AQ93" s="67"/>
      <c r="AR93" s="67"/>
      <c r="AS93" s="67"/>
      <c r="AT93" s="67"/>
      <c r="AU93" s="67"/>
      <c r="AV93" s="260"/>
      <c r="AW93" s="67"/>
      <c r="AX93" s="67"/>
      <c r="AY93" s="67"/>
      <c r="AZ93" s="67"/>
      <c r="BA93" s="67"/>
      <c r="BB93" s="67"/>
      <c r="BC93" s="67"/>
      <c r="BD93" s="67"/>
      <c r="BE93" s="67"/>
      <c r="BF93" s="67"/>
      <c r="BG93" s="67"/>
      <c r="BH93" s="67"/>
      <c r="BI93" s="67"/>
      <c r="BJ93" s="67"/>
      <c r="BK93" s="67"/>
      <c r="BL93" s="260"/>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67"/>
    </row>
    <row r="94" spans="1:163" s="66" customFormat="1" x14ac:dyDescent="0.4">
      <c r="A94" s="252"/>
      <c r="B94" s="252"/>
      <c r="C94" s="252"/>
      <c r="D94" s="252"/>
      <c r="E94" s="252"/>
      <c r="F94" s="252"/>
      <c r="G94" s="252"/>
      <c r="H94" s="252"/>
      <c r="I94" s="252"/>
      <c r="J94" s="67"/>
      <c r="K94" s="67"/>
      <c r="L94" s="67"/>
      <c r="M94" s="67"/>
      <c r="N94" s="67"/>
      <c r="O94" s="67"/>
      <c r="P94" s="67"/>
      <c r="Q94" s="67"/>
      <c r="R94" s="67"/>
      <c r="S94" s="67"/>
      <c r="T94" s="67"/>
      <c r="U94" s="67"/>
      <c r="V94" s="67"/>
      <c r="W94" s="67"/>
      <c r="X94" s="67"/>
      <c r="Y94" s="67"/>
      <c r="Z94" s="67"/>
      <c r="AA94" s="67"/>
      <c r="AB94" s="67"/>
      <c r="AC94" s="67"/>
      <c r="AD94" s="67"/>
      <c r="AE94" s="67"/>
      <c r="AF94" s="260"/>
      <c r="AG94" s="67"/>
      <c r="AH94" s="67"/>
      <c r="AI94" s="67"/>
      <c r="AJ94" s="67"/>
      <c r="AK94" s="67"/>
      <c r="AL94" s="67"/>
      <c r="AM94" s="67"/>
      <c r="AN94" s="67"/>
      <c r="AO94" s="67"/>
      <c r="AP94" s="67"/>
      <c r="AQ94" s="67"/>
      <c r="AR94" s="67"/>
      <c r="AS94" s="67"/>
      <c r="AT94" s="67"/>
      <c r="AU94" s="67"/>
      <c r="AV94" s="260"/>
      <c r="AW94" s="67"/>
      <c r="AX94" s="67"/>
      <c r="AY94" s="67"/>
      <c r="AZ94" s="67"/>
      <c r="BA94" s="67"/>
      <c r="BB94" s="67"/>
      <c r="BC94" s="67"/>
      <c r="BD94" s="67"/>
      <c r="BE94" s="67"/>
      <c r="BF94" s="67"/>
      <c r="BG94" s="67"/>
      <c r="BH94" s="67"/>
      <c r="BI94" s="67"/>
      <c r="BJ94" s="67"/>
      <c r="BK94" s="67"/>
      <c r="BL94" s="260"/>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row>
    <row r="95" spans="1:163" x14ac:dyDescent="0.4">
      <c r="J95" s="67"/>
      <c r="K95" s="67"/>
      <c r="L95" s="67"/>
      <c r="M95" s="67"/>
      <c r="AF95" s="260"/>
      <c r="AV95" s="260"/>
      <c r="BL95" s="260"/>
    </row>
    <row r="96" spans="1:163" x14ac:dyDescent="0.4">
      <c r="J96" s="67"/>
      <c r="K96" s="67"/>
      <c r="L96" s="67"/>
      <c r="M96" s="67"/>
      <c r="AF96" s="260"/>
      <c r="AV96" s="260"/>
      <c r="BL96" s="260"/>
    </row>
    <row r="97" spans="10:64" x14ac:dyDescent="0.4">
      <c r="J97" s="67"/>
      <c r="K97" s="67"/>
      <c r="L97" s="67"/>
      <c r="M97" s="67"/>
      <c r="AF97" s="260"/>
      <c r="AV97" s="260"/>
      <c r="BL97" s="260"/>
    </row>
    <row r="98" spans="10:64" x14ac:dyDescent="0.4">
      <c r="J98" s="67"/>
      <c r="K98" s="67"/>
      <c r="L98" s="67"/>
      <c r="M98" s="67"/>
      <c r="AF98" s="260"/>
      <c r="AV98" s="260"/>
      <c r="BL98" s="260"/>
    </row>
    <row r="99" spans="10:64" x14ac:dyDescent="0.4">
      <c r="J99" s="67"/>
      <c r="K99" s="67"/>
      <c r="L99" s="67"/>
      <c r="M99" s="67"/>
      <c r="AF99" s="260"/>
      <c r="AV99" s="260"/>
      <c r="BL99" s="260"/>
    </row>
    <row r="100" spans="10:64" x14ac:dyDescent="0.4">
      <c r="J100" s="67"/>
      <c r="K100" s="67"/>
      <c r="L100" s="67"/>
      <c r="M100" s="67"/>
      <c r="AF100" s="260"/>
      <c r="AV100" s="260"/>
      <c r="BL100" s="260"/>
    </row>
    <row r="101" spans="10:64" x14ac:dyDescent="0.4">
      <c r="J101" s="67"/>
      <c r="K101" s="67"/>
      <c r="L101" s="67"/>
      <c r="M101" s="67"/>
      <c r="AF101" s="260"/>
      <c r="AV101" s="260"/>
      <c r="BL101" s="260"/>
    </row>
    <row r="102" spans="10:64" x14ac:dyDescent="0.4">
      <c r="K102" s="67"/>
      <c r="L102" s="67"/>
      <c r="AF102" s="260"/>
      <c r="AV102" s="260"/>
      <c r="BL102" s="260"/>
    </row>
    <row r="103" spans="10:64" x14ac:dyDescent="0.4">
      <c r="K103" s="67"/>
      <c r="L103" s="67"/>
      <c r="AF103" s="260"/>
      <c r="AV103" s="260"/>
      <c r="BL103" s="260"/>
    </row>
    <row r="104" spans="10:64" x14ac:dyDescent="0.4">
      <c r="AF104" s="260"/>
      <c r="AV104" s="260"/>
      <c r="BL104" s="260"/>
    </row>
    <row r="105" spans="10:64" x14ac:dyDescent="0.4">
      <c r="AF105" s="260"/>
      <c r="AV105" s="260"/>
      <c r="BL105" s="260"/>
    </row>
    <row r="106" spans="10:64" x14ac:dyDescent="0.4">
      <c r="AF106" s="260"/>
      <c r="AV106" s="260"/>
      <c r="BL106" s="260"/>
    </row>
    <row r="107" spans="10:64" x14ac:dyDescent="0.4">
      <c r="AF107" s="260"/>
      <c r="AV107" s="260"/>
      <c r="BL107" s="260"/>
    </row>
    <row r="108" spans="10:64" x14ac:dyDescent="0.4">
      <c r="AF108" s="260"/>
      <c r="AV108" s="260"/>
      <c r="BL108" s="260"/>
    </row>
    <row r="109" spans="10:64" x14ac:dyDescent="0.4">
      <c r="AF109" s="260"/>
      <c r="AV109" s="260"/>
      <c r="BL109" s="260"/>
    </row>
    <row r="110" spans="10:64" x14ac:dyDescent="0.4">
      <c r="AF110" s="260"/>
      <c r="AV110" s="260"/>
      <c r="BL110" s="260"/>
    </row>
    <row r="111" spans="10:64" x14ac:dyDescent="0.4">
      <c r="AF111" s="260"/>
      <c r="AV111" s="260"/>
      <c r="BL111" s="260"/>
    </row>
    <row r="112" spans="10:64" x14ac:dyDescent="0.4">
      <c r="AF112" s="260"/>
      <c r="AV112" s="260"/>
      <c r="BL112" s="260"/>
    </row>
  </sheetData>
  <sheetProtection selectLockedCells="1"/>
  <mergeCells count="45">
    <mergeCell ref="U3:V3"/>
    <mergeCell ref="C3:D3"/>
    <mergeCell ref="F3:H3"/>
    <mergeCell ref="I3:J3"/>
    <mergeCell ref="O3:P3"/>
    <mergeCell ref="R3:T3"/>
    <mergeCell ref="AB6:AC6"/>
    <mergeCell ref="AE6:AG6"/>
    <mergeCell ref="AB3:AC3"/>
    <mergeCell ref="AE3:AG3"/>
    <mergeCell ref="AH3:AI3"/>
    <mergeCell ref="AE4:AG4"/>
    <mergeCell ref="AH4:AI4"/>
    <mergeCell ref="AH6:AI6"/>
    <mergeCell ref="AB4:AC4"/>
    <mergeCell ref="U5:V5"/>
    <mergeCell ref="AB5:AC5"/>
    <mergeCell ref="AE5:AG5"/>
    <mergeCell ref="AH5:AI5"/>
    <mergeCell ref="C4:D4"/>
    <mergeCell ref="F4:H4"/>
    <mergeCell ref="I4:J4"/>
    <mergeCell ref="O4:P4"/>
    <mergeCell ref="R4:T4"/>
    <mergeCell ref="C5:D5"/>
    <mergeCell ref="F5:H5"/>
    <mergeCell ref="I5:J5"/>
    <mergeCell ref="O5:P5"/>
    <mergeCell ref="R5:T5"/>
    <mergeCell ref="U4:V4"/>
    <mergeCell ref="C9:D9"/>
    <mergeCell ref="O9:P9"/>
    <mergeCell ref="AB9:AC9"/>
    <mergeCell ref="C7:D7"/>
    <mergeCell ref="O7:P7"/>
    <mergeCell ref="AB7:AC7"/>
    <mergeCell ref="C8:D8"/>
    <mergeCell ref="O8:P8"/>
    <mergeCell ref="AB8:AC8"/>
    <mergeCell ref="U6:V6"/>
    <mergeCell ref="C6:D6"/>
    <mergeCell ref="F6:H6"/>
    <mergeCell ref="I6:J6"/>
    <mergeCell ref="O6:P6"/>
    <mergeCell ref="R6:T6"/>
  </mergeCells>
  <pageMargins left="0.7" right="0.7" top="0.75" bottom="0.75" header="0.3" footer="0.3"/>
  <pageSetup scale="63" fitToWidth="3" orientation="landscape" r:id="rId1"/>
  <headerFooter>
    <oddHeader>&amp;C&amp;G</oddHeader>
    <oddFooter xml:space="preserve">&amp;RSunDx INTWKSHT20191021
</oddFooter>
  </headerFooter>
  <colBreaks count="1" manualBreakCount="1">
    <brk id="25"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vt:lpstr>
      <vt:lpstr>Test Pool Calculator</vt:lpstr>
      <vt:lpstr>Replicate Tables</vt:lpstr>
      <vt:lpstr>Example-Screening</vt:lpstr>
      <vt:lpstr>Example-Dose Response</vt:lpstr>
      <vt:lpstr>Screening Worksheet 1</vt:lpstr>
      <vt:lpstr>Screening Worksheet 2</vt:lpstr>
      <vt:lpstr>Screening Worksheet 3</vt:lpstr>
      <vt:lpstr> Dose-Response Worksheet 1</vt:lpstr>
      <vt:lpstr>Dose-Response Worksheet 2</vt:lpstr>
      <vt:lpstr>Dose-Response Worksheet 3</vt:lpstr>
      <vt:lpstr>Calculations</vt:lpstr>
      <vt:lpstr>Sheet1</vt:lpstr>
      <vt:lpstr>' Dose-Response Worksheet 1'!Print_Area</vt:lpstr>
      <vt:lpstr>'Dose-Response Worksheet 2'!Print_Area</vt:lpstr>
      <vt:lpstr>'Dose-Response Worksheet 3'!Print_Area</vt:lpstr>
      <vt:lpstr>'Example-Dose Response'!Print_Area</vt:lpstr>
      <vt:lpstr>'Example-Screening'!Print_Area</vt:lpstr>
      <vt:lpstr>'Replicate Tables'!Print_Area</vt:lpstr>
      <vt:lpstr>Sheet1!Print_Area</vt:lpstr>
      <vt:lpstr>'Test Pool Calculator'!Print_Area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Contois</dc:creator>
  <cp:lastModifiedBy>john contois</cp:lastModifiedBy>
  <cp:lastPrinted>2019-10-21T13:01:33Z</cp:lastPrinted>
  <dcterms:created xsi:type="dcterms:W3CDTF">2010-02-25T14:19:36Z</dcterms:created>
  <dcterms:modified xsi:type="dcterms:W3CDTF">2019-11-26T20:41:08Z</dcterms:modified>
</cp:coreProperties>
</file>